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and\Documents\AMAZON-PC\"/>
    </mc:Choice>
  </mc:AlternateContent>
  <xr:revisionPtr revIDLastSave="0" documentId="13_ncr:40009_{5A243FE6-4FB1-4742-A85A-3FD70BFF6159}" xr6:coauthVersionLast="47" xr6:coauthVersionMax="47" xr10:uidLastSave="{00000000-0000-0000-0000-000000000000}"/>
  <bookViews>
    <workbookView xWindow="-120" yWindow="-120" windowWidth="29040" windowHeight="15720"/>
  </bookViews>
  <sheets>
    <sheet name="CONDUCTION" sheetId="1" r:id="rId1"/>
    <sheet name="CONVECTION" sheetId="2" r:id="rId2"/>
    <sheet name="RADIATION" sheetId="4" r:id="rId3"/>
    <sheet name="MATH TOOLS" sheetId="3" r:id="rId4"/>
  </sheets>
  <definedNames>
    <definedName name="solver_adj" localSheetId="0" hidden="1">CONDUCTION!$L$297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100</definedName>
    <definedName name="solver_lhs1" localSheetId="0" hidden="1">CONDUCTION!$L$297</definedName>
    <definedName name="solver_lhs2" localSheetId="0" hidden="1">CONDUCTION!$L$298</definedName>
    <definedName name="solver_lhs3" localSheetId="0" hidden="1">CONDUCTION!$L$299</definedName>
    <definedName name="solver_lhs4" localSheetId="0" hidden="1">CONDUCTION!$L$300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el1" localSheetId="0" hidden="1">2</definedName>
    <definedName name="solver_rel2" localSheetId="0" hidden="1">2</definedName>
    <definedName name="solver_rel3" localSheetId="0" hidden="1">2</definedName>
    <definedName name="solver_rel4" localSheetId="0" hidden="1">2</definedName>
    <definedName name="solver_rhs1" localSheetId="0" hidden="1">CONDUCTION!$N$306</definedName>
    <definedName name="solver_rhs2" localSheetId="0" hidden="1">CONDUCTION!$N$307+CONDUCTION!$T$304</definedName>
    <definedName name="solver_rhs3" localSheetId="0" hidden="1">CONDUCTION!$N$308</definedName>
    <definedName name="solver_rhs4" localSheetId="0" hidden="1">CONDUCTION!$N$309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1" i="1" l="1"/>
  <c r="B58" i="1"/>
  <c r="B63" i="1"/>
  <c r="B68" i="1"/>
  <c r="B93" i="1"/>
  <c r="B96" i="1"/>
  <c r="B184" i="1"/>
  <c r="B187" i="1"/>
  <c r="B199" i="1" s="1"/>
  <c r="B200" i="1" s="1"/>
  <c r="B189" i="1"/>
  <c r="B191" i="1"/>
  <c r="B193" i="1"/>
  <c r="B195" i="1"/>
  <c r="B202" i="1"/>
  <c r="B230" i="1"/>
  <c r="B232" i="1"/>
  <c r="B238" i="1" s="1"/>
  <c r="B243" i="1" s="1"/>
  <c r="B234" i="1"/>
  <c r="B236" i="1"/>
  <c r="B240" i="1"/>
  <c r="C77" i="3"/>
  <c r="B204" i="1" l="1"/>
  <c r="B211" i="1" s="1"/>
  <c r="B215" i="1" s="1"/>
  <c r="B206" i="1"/>
  <c r="B207" i="1" s="1"/>
  <c r="B245" i="1"/>
  <c r="B246" i="1" s="1"/>
  <c r="B251" i="1"/>
  <c r="B255" i="1"/>
  <c r="C40" i="3" l="1"/>
  <c r="C38" i="3"/>
  <c r="G37" i="3"/>
  <c r="G40" i="3" s="1"/>
  <c r="G35" i="3"/>
  <c r="B255" i="2"/>
  <c r="B253" i="2"/>
  <c r="E63" i="1"/>
  <c r="B181" i="2"/>
  <c r="B182" i="2"/>
  <c r="B184" i="2"/>
  <c r="B185" i="2"/>
  <c r="B187" i="2"/>
  <c r="B203" i="2"/>
  <c r="B286" i="2"/>
  <c r="B289" i="2"/>
  <c r="B291" i="2"/>
  <c r="B283" i="2"/>
  <c r="B295" i="2"/>
  <c r="H202" i="1"/>
  <c r="H193" i="1"/>
  <c r="H191" i="1"/>
  <c r="H189" i="1"/>
  <c r="H184" i="1"/>
  <c r="H187" i="1"/>
  <c r="H199" i="1"/>
  <c r="H200" i="1"/>
  <c r="H195" i="1"/>
  <c r="B23" i="2"/>
  <c r="B25" i="2"/>
  <c r="B144" i="2"/>
  <c r="B146" i="2"/>
  <c r="B153" i="2"/>
  <c r="B154" i="2"/>
  <c r="B143" i="2"/>
  <c r="B148" i="2"/>
  <c r="B149" i="2"/>
  <c r="B299" i="2"/>
  <c r="B302" i="2"/>
  <c r="B316" i="2"/>
  <c r="B108" i="4"/>
  <c r="B110" i="4"/>
  <c r="B115" i="4"/>
  <c r="B123" i="4"/>
  <c r="B119" i="4"/>
  <c r="B49" i="4"/>
  <c r="B51" i="4"/>
  <c r="B47" i="4"/>
  <c r="B25" i="4"/>
  <c r="B21" i="4"/>
  <c r="B52" i="2"/>
  <c r="B53" i="2"/>
  <c r="B67" i="2"/>
  <c r="B68" i="2"/>
  <c r="B75" i="2"/>
  <c r="B77" i="2"/>
  <c r="B54" i="2"/>
  <c r="B56" i="2"/>
  <c r="E68" i="1"/>
  <c r="B257" i="2"/>
  <c r="B151" i="2"/>
  <c r="B189" i="2"/>
  <c r="B192" i="2"/>
  <c r="B193" i="2"/>
  <c r="B201" i="2"/>
  <c r="B293" i="2"/>
  <c r="B313" i="2"/>
  <c r="B320" i="2"/>
  <c r="B152" i="2"/>
  <c r="B166" i="2"/>
  <c r="H204" i="1"/>
  <c r="H211" i="1"/>
  <c r="H215" i="1"/>
  <c r="H206" i="1"/>
  <c r="B205" i="2"/>
  <c r="B164" i="2"/>
  <c r="B156" i="2"/>
  <c r="B155" i="2"/>
  <c r="B158" i="2"/>
  <c r="B160" i="2"/>
  <c r="B162" i="2"/>
</calcChain>
</file>

<file path=xl/sharedStrings.xml><?xml version="1.0" encoding="utf-8"?>
<sst xmlns="http://schemas.openxmlformats.org/spreadsheetml/2006/main" count="1218" uniqueCount="740">
  <si>
    <t>P1</t>
  </si>
  <si>
    <t>Linear Thermal Expansion</t>
  </si>
  <si>
    <t>Mild Steel  α =</t>
  </si>
  <si>
    <t>Copper  α =</t>
  </si>
  <si>
    <t>Bronze  α =</t>
  </si>
  <si>
    <t xml:space="preserve"> Aluminum  α =</t>
  </si>
  <si>
    <t xml:space="preserve">   </t>
  </si>
  <si>
    <t>in the range 0 to 100C</t>
  </si>
  <si>
    <t>deg C</t>
  </si>
  <si>
    <t xml:space="preserve">in </t>
  </si>
  <si>
    <t>deg F</t>
  </si>
  <si>
    <t>cm</t>
  </si>
  <si>
    <t>or</t>
  </si>
  <si>
    <t xml:space="preserve">Units </t>
  </si>
  <si>
    <t>Q =</t>
  </si>
  <si>
    <t>L * α * Δt</t>
  </si>
  <si>
    <t>A =</t>
  </si>
  <si>
    <t>t2 =</t>
  </si>
  <si>
    <t>t3 =</t>
  </si>
  <si>
    <t xml:space="preserve"> </t>
  </si>
  <si>
    <t>t1 =</t>
  </si>
  <si>
    <t>h * A * (t1 - t2)</t>
  </si>
  <si>
    <t>Q / A =</t>
  </si>
  <si>
    <t>L =</t>
  </si>
  <si>
    <t>P2</t>
  </si>
  <si>
    <t>sq m</t>
  </si>
  <si>
    <t>Watts</t>
  </si>
  <si>
    <t>mm</t>
  </si>
  <si>
    <t>Answer: ΔL =</t>
  </si>
  <si>
    <t>W/m*C</t>
  </si>
  <si>
    <t>in/in</t>
  </si>
  <si>
    <t>Q / (A*(t1 -  t2))</t>
  </si>
  <si>
    <t xml:space="preserve">  </t>
  </si>
  <si>
    <t>C</t>
  </si>
  <si>
    <t xml:space="preserve">  h =</t>
  </si>
  <si>
    <t>Surface area, A =</t>
  </si>
  <si>
    <t>Inside air temp. thermocouple,  t1 =</t>
  </si>
  <si>
    <t>Inside surface temp. thermocouple,  t2 =</t>
  </si>
  <si>
    <t>Input Data</t>
  </si>
  <si>
    <t>Calculations</t>
  </si>
  <si>
    <t>Measuring Air Film Coefficient</t>
  </si>
  <si>
    <t>k*C*(Gr*Pr)^n / L</t>
  </si>
  <si>
    <t>Description</t>
  </si>
  <si>
    <t>Gr</t>
  </si>
  <si>
    <t>n</t>
  </si>
  <si>
    <t>Vertical Plate</t>
  </si>
  <si>
    <t>&lt; 10^4</t>
  </si>
  <si>
    <t>10^4&lt;10^9</t>
  </si>
  <si>
    <t>10^9&lt;10^12</t>
  </si>
  <si>
    <t xml:space="preserve">or </t>
  </si>
  <si>
    <t>Vertical Cylinder</t>
  </si>
  <si>
    <t>Horizontal Plate</t>
  </si>
  <si>
    <t>hot surface facing up</t>
  </si>
  <si>
    <t>hot surface facing down</t>
  </si>
  <si>
    <t>(S1 + S2) / 2</t>
  </si>
  <si>
    <t>10^5&lt;2*10^7</t>
  </si>
  <si>
    <t>2*10^7&lt;3*10^10</t>
  </si>
  <si>
    <t>3*10^5&lt;3*10^10</t>
  </si>
  <si>
    <t>m</t>
  </si>
  <si>
    <t>Exterior surface temperature,  Ts =</t>
  </si>
  <si>
    <t>Ambient (room) temperature,  Ta =</t>
  </si>
  <si>
    <t>Th =</t>
  </si>
  <si>
    <t>(Ts + Ta) / 2</t>
  </si>
  <si>
    <t>W / m*C</t>
  </si>
  <si>
    <t>kg / m^3</t>
  </si>
  <si>
    <t>kg / sec*m</t>
  </si>
  <si>
    <t>1 / deg C</t>
  </si>
  <si>
    <t>Grashof number,  Gr =</t>
  </si>
  <si>
    <t>m/sec^2</t>
  </si>
  <si>
    <t>Gr*Pr =</t>
  </si>
  <si>
    <t>10^3 &lt; 10^9</t>
  </si>
  <si>
    <t>C =</t>
  </si>
  <si>
    <t>n =</t>
  </si>
  <si>
    <t>W / m^2*C</t>
  </si>
  <si>
    <t>height =</t>
  </si>
  <si>
    <t>width =</t>
  </si>
  <si>
    <t>Porcelain  α =</t>
  </si>
  <si>
    <t>Nusselt Equation, Air Film Coefficient,  h =</t>
  </si>
  <si>
    <t>L^3*g*β*ρ^2*(Ts - Ta) / μ^2</t>
  </si>
  <si>
    <t>Multiply</t>
  </si>
  <si>
    <t>by</t>
  </si>
  <si>
    <t>lbm/ft^2</t>
  </si>
  <si>
    <t>Btu/hr-ft-deg F</t>
  </si>
  <si>
    <t>Btu/lbm-deg F</t>
  </si>
  <si>
    <t>Btu/hr</t>
  </si>
  <si>
    <t>W</t>
  </si>
  <si>
    <t>hp</t>
  </si>
  <si>
    <t>ft-lbf</t>
  </si>
  <si>
    <t>Btu</t>
  </si>
  <si>
    <t>ft</t>
  </si>
  <si>
    <t>in</t>
  </si>
  <si>
    <t>lbf</t>
  </si>
  <si>
    <t>N</t>
  </si>
  <si>
    <t>N-m</t>
  </si>
  <si>
    <t>5*(deg F - 32)/9</t>
  </si>
  <si>
    <t>(9*deg C/5) + 32</t>
  </si>
  <si>
    <t>deg C + 273.2</t>
  </si>
  <si>
    <t>(Tin + Tout) / 2</t>
  </si>
  <si>
    <t>Cp =</t>
  </si>
  <si>
    <t>kg / m^2</t>
  </si>
  <si>
    <t>k*J/kg*K</t>
  </si>
  <si>
    <t>kg / m*s</t>
  </si>
  <si>
    <t>W / m*K</t>
  </si>
  <si>
    <t>Reynolds Number,  Re =</t>
  </si>
  <si>
    <t>V*D / ν</t>
  </si>
  <si>
    <t>Velocity of water in tube,  V =</t>
  </si>
  <si>
    <t>m / s</t>
  </si>
  <si>
    <t>V*D*ρ / μ</t>
  </si>
  <si>
    <t>or,  Re =</t>
  </si>
  <si>
    <t>Tube inside diameter,  Di =</t>
  </si>
  <si>
    <t>Tube outside diameter,  Do =</t>
  </si>
  <si>
    <t>Answer:  Re =</t>
  </si>
  <si>
    <t>Answer:  Tb =</t>
  </si>
  <si>
    <t>0.023*(Re^.8)*(Pr^n)*(k/d)</t>
  </si>
  <si>
    <t>W / m^2*K</t>
  </si>
  <si>
    <t>S.I. Answer:  h =</t>
  </si>
  <si>
    <t>U.S. Answer:  h =</t>
  </si>
  <si>
    <t>Btu/hr-ft^2*F</t>
  </si>
  <si>
    <t xml:space="preserve">Turbulent </t>
  </si>
  <si>
    <t>Re &gt;4000</t>
  </si>
  <si>
    <t>(W/m^2*K)/5.5956</t>
  </si>
  <si>
    <t>X</t>
  </si>
  <si>
    <t>Boundary layer thickness =</t>
  </si>
  <si>
    <t>V</t>
  </si>
  <si>
    <t>Air flow velocity =</t>
  </si>
  <si>
    <t>P3</t>
  </si>
  <si>
    <t>P4</t>
  </si>
  <si>
    <t>P5</t>
  </si>
  <si>
    <t>Tc =</t>
  </si>
  <si>
    <t>Td =</t>
  </si>
  <si>
    <t>Tb - Tc</t>
  </si>
  <si>
    <t>Ta - Td</t>
  </si>
  <si>
    <t>Answer:  ΔTad =</t>
  </si>
  <si>
    <t>Answer:  ΔTm =</t>
  </si>
  <si>
    <t>Overall heat transfer coefficient =</t>
  </si>
  <si>
    <t>Uo</t>
  </si>
  <si>
    <t>Uo =</t>
  </si>
  <si>
    <t>Uo*A*ΔTm</t>
  </si>
  <si>
    <t>Heat flow rate,  Q =</t>
  </si>
  <si>
    <t>Uo*π*di*L*ΔTm</t>
  </si>
  <si>
    <t>Heat flow rate thru inside tube wall,  Qi =</t>
  </si>
  <si>
    <t>Heat flow rate thru outside tube wall,  Qo =</t>
  </si>
  <si>
    <t>Uo*π*do*L*ΔTm</t>
  </si>
  <si>
    <t>π*di*L</t>
  </si>
  <si>
    <t>π*do*L</t>
  </si>
  <si>
    <t>Answer:  Uo =</t>
  </si>
  <si>
    <t>ρ*V*(di)^2*Cp*(Tout -Tin) / (4*Uo*do*ΔTm)</t>
  </si>
  <si>
    <t>Cp*1000</t>
  </si>
  <si>
    <t>1000*J/kJ</t>
  </si>
  <si>
    <t>J/kg*K</t>
  </si>
  <si>
    <t>Answer:  Cp =</t>
  </si>
  <si>
    <t>Answer:  L =</t>
  </si>
  <si>
    <t>P6</t>
  </si>
  <si>
    <t>FINS</t>
  </si>
  <si>
    <t>P7</t>
  </si>
  <si>
    <t>t =</t>
  </si>
  <si>
    <t>Answer:  Q =</t>
  </si>
  <si>
    <t>m^2</t>
  </si>
  <si>
    <t>tanh(n*L) =</t>
  </si>
  <si>
    <t>w*t</t>
  </si>
  <si>
    <t>Number of fins,  N =</t>
  </si>
  <si>
    <t>For thin fin,  n =</t>
  </si>
  <si>
    <t>X1 =</t>
  </si>
  <si>
    <t>X2 =</t>
  </si>
  <si>
    <t>[(sinh(n*L) + (h / n*K)*cosh(n*L)]</t>
  </si>
  <si>
    <t>[(cosh(n*L) + (h / n*K)*sinh(n*L)]</t>
  </si>
  <si>
    <t>Ab =</t>
  </si>
  <si>
    <t>η =</t>
  </si>
  <si>
    <t>Ideal heat transfer,  Qi =</t>
  </si>
  <si>
    <t>Qi / Qa</t>
  </si>
  <si>
    <t>Ideal heat transfer,  Qa =</t>
  </si>
  <si>
    <t>Answer:  η =</t>
  </si>
  <si>
    <t>Fin material thermal conductivity,  K =</t>
  </si>
  <si>
    <t xml:space="preserve">(K*Ab*n)*(ΔT)*(tanh(n*L)) </t>
  </si>
  <si>
    <t>Q = (h*P*K*Ab)^.5*(ΔT)*(tanh(n*L)) =</t>
  </si>
  <si>
    <t>2*(w + t)</t>
  </si>
  <si>
    <t>t + 273.2</t>
  </si>
  <si>
    <t>deg K</t>
  </si>
  <si>
    <t>Heat Radiation Upon a Surface</t>
  </si>
  <si>
    <t>Fraction of heat energy reflected, ρ =</t>
  </si>
  <si>
    <t>Fraction of heat energy passed thru.,  τ =</t>
  </si>
  <si>
    <t>reflectivity</t>
  </si>
  <si>
    <t>transmissivity</t>
  </si>
  <si>
    <t>(transparent; solids, liquids, &amp; gasses)</t>
  </si>
  <si>
    <t>Black Body Radiation</t>
  </si>
  <si>
    <t>σ*T^4</t>
  </si>
  <si>
    <t>W /m^2*K^4</t>
  </si>
  <si>
    <t xml:space="preserve">   Stefan-Boltzmann constant,  σ =</t>
  </si>
  <si>
    <t>Btu/h*ft^2*R</t>
  </si>
  <si>
    <t>deg R</t>
  </si>
  <si>
    <t>t + 459.8</t>
  </si>
  <si>
    <t>therefore,  ρ = 0 and τ = 0</t>
  </si>
  <si>
    <t>Answer:  Tk =</t>
  </si>
  <si>
    <t>Answer:  Tr =</t>
  </si>
  <si>
    <t>ε</t>
  </si>
  <si>
    <t>Gray body radiation factor =</t>
  </si>
  <si>
    <t>Gray body radiation,  Eg =</t>
  </si>
  <si>
    <t>ε*σ*T^4</t>
  </si>
  <si>
    <t>Radiation transmitted from surface 1 =</t>
  </si>
  <si>
    <t>Radiation transmitted to surface 2 =</t>
  </si>
  <si>
    <t>E1</t>
  </si>
  <si>
    <t>E2</t>
  </si>
  <si>
    <t>Surface 1 is smaller than surface 2.</t>
  </si>
  <si>
    <t>E1 / E2</t>
  </si>
  <si>
    <t xml:space="preserve">If surface 2 completely surrounds </t>
  </si>
  <si>
    <t>surface 1,  Fa =</t>
  </si>
  <si>
    <t>Duct diameter,  D =</t>
  </si>
  <si>
    <t>Convective film coefficient,  h =</t>
  </si>
  <si>
    <t>W/ m^2*K</t>
  </si>
  <si>
    <t>Btu/hr*ft^2*F</t>
  </si>
  <si>
    <t>Tduct =</t>
  </si>
  <si>
    <t>Twalls =</t>
  </si>
  <si>
    <t xml:space="preserve">Surface 2 completely surrounds surface 1 </t>
  </si>
  <si>
    <t>Heat transferred by radiation,  Er =</t>
  </si>
  <si>
    <t>tduct + 273</t>
  </si>
  <si>
    <t>twalls + 273</t>
  </si>
  <si>
    <t>Answer:  Tduct =</t>
  </si>
  <si>
    <t>Answer:  Twalls =</t>
  </si>
  <si>
    <t>1. Calculate heat lost by radiation:</t>
  </si>
  <si>
    <t>2. Determine heat lost by convection:</t>
  </si>
  <si>
    <t>Convective heat transfer,  Q / A =</t>
  </si>
  <si>
    <t>h*(tduct - tair)</t>
  </si>
  <si>
    <t>Surrounding air temperature,  tair =</t>
  </si>
  <si>
    <t>Duct surface temperature,  tduct =</t>
  </si>
  <si>
    <t>W / m^2</t>
  </si>
  <si>
    <t>Answer:  Q / A =</t>
  </si>
  <si>
    <t>Answer:  Er =</t>
  </si>
  <si>
    <t>Horizontal duct under a house.</t>
  </si>
  <si>
    <t>Temperature under house,  twalls =</t>
  </si>
  <si>
    <t>3. Add to find total heat loss:</t>
  </si>
  <si>
    <t>Qtotal / Area =</t>
  </si>
  <si>
    <t>Er + Q / A</t>
  </si>
  <si>
    <t>W/m^2*K^4</t>
  </si>
  <si>
    <t>Units</t>
  </si>
  <si>
    <t>1. Type in values for the input data.</t>
  </si>
  <si>
    <t>2. Enter.</t>
  </si>
  <si>
    <t>Spread Sheet Method:</t>
  </si>
  <si>
    <t>Length change,  ΔL =</t>
  </si>
  <si>
    <t>Coefficients of Linear Expansion</t>
  </si>
  <si>
    <t>ε*σ*CF*(T1^4-T1^4)</t>
  </si>
  <si>
    <t>Total radiation transmitted,  Et =</t>
  </si>
  <si>
    <t>ε*σ*CF*(T1^4 - T2^4)</t>
  </si>
  <si>
    <t>Temperature is the intensity of heat:</t>
  </si>
  <si>
    <t>Overall thermal resistance,  R =</t>
  </si>
  <si>
    <t>(W/m^2*K)/5.596</t>
  </si>
  <si>
    <t>W/m^2*C</t>
  </si>
  <si>
    <t>J/kg-C</t>
  </si>
  <si>
    <t>Btu/hr-ft^2-F</t>
  </si>
  <si>
    <t>Length L</t>
  </si>
  <si>
    <t>2*π*r</t>
  </si>
  <si>
    <t>Answer:  Ts - Ta =</t>
  </si>
  <si>
    <t>Answer:  Th =</t>
  </si>
  <si>
    <t>Answer:  Gr =</t>
  </si>
  <si>
    <t>Answer:  Gr*Pr =</t>
  </si>
  <si>
    <t>Perimeter,  P =</t>
  </si>
  <si>
    <t>U.S. absolute temperature,  Tr =</t>
  </si>
  <si>
    <t>S.I. absolute temperature,  Tk =</t>
  </si>
  <si>
    <t>Tube inside area,  Ai =</t>
  </si>
  <si>
    <t>Tube outside area,  Ao =</t>
  </si>
  <si>
    <t>Overall heat transfer coefficient,  Uo =</t>
  </si>
  <si>
    <t>(ΔTbc - ΔTad)/ln(Tbc/ΔTad)</t>
  </si>
  <si>
    <t>h = air film convective coefficient</t>
  </si>
  <si>
    <t>A = exposed surface area of the fins.</t>
  </si>
  <si>
    <t>P = perimeter of the fins.</t>
  </si>
  <si>
    <t>k = fin material conductivity coefficient.</t>
  </si>
  <si>
    <t>and provide a cooling effect.</t>
  </si>
  <si>
    <t>However, if h*A / P*k is greater than 1.00</t>
  </si>
  <si>
    <t>Heat travels three ways:</t>
  </si>
  <si>
    <t>Conduction Example</t>
  </si>
  <si>
    <t>Thermal conductivity,  K =</t>
  </si>
  <si>
    <t>W / m-K</t>
  </si>
  <si>
    <t>Area,  A =</t>
  </si>
  <si>
    <t>High temperature,  t1 =</t>
  </si>
  <si>
    <t>Low temperature,  t2 =</t>
  </si>
  <si>
    <t>Calculation</t>
  </si>
  <si>
    <t>Heat transfer,  Q =</t>
  </si>
  <si>
    <t>Dimension,  L1 =</t>
  </si>
  <si>
    <t>Dimension,  L2 =</t>
  </si>
  <si>
    <t>Answer:  A =</t>
  </si>
  <si>
    <t>L1*L2</t>
  </si>
  <si>
    <t>Convective heat transfer coefficient,  h =</t>
  </si>
  <si>
    <t>W / m^2-C</t>
  </si>
  <si>
    <t>Radiation Example</t>
  </si>
  <si>
    <t>-</t>
  </si>
  <si>
    <t>W / m^2-K^4</t>
  </si>
  <si>
    <t>Material surface emissivity,  e =</t>
  </si>
  <si>
    <t>Surface temperature,  t1 =</t>
  </si>
  <si>
    <t>Stefan-Boltzmann constant,  σ =</t>
  </si>
  <si>
    <t>e*σ*T^4</t>
  </si>
  <si>
    <t>Absolute temperature.  T =</t>
  </si>
  <si>
    <t>C + 273</t>
  </si>
  <si>
    <t>T =</t>
  </si>
  <si>
    <t>deg Abs</t>
  </si>
  <si>
    <t>MATERIAL</t>
  </si>
  <si>
    <t>Properties at 68 deg F</t>
  </si>
  <si>
    <t>ρ</t>
  </si>
  <si>
    <t>lbm/ft^3</t>
  </si>
  <si>
    <t>K</t>
  </si>
  <si>
    <t>Btu/hr-ft-F</t>
  </si>
  <si>
    <t>Carbon Steel, 1.0%C</t>
  </si>
  <si>
    <t>Duralumin, 3-5%Cu, trace Mg</t>
  </si>
  <si>
    <t>Copper, pure</t>
  </si>
  <si>
    <t>Brass, 70 Cu, 30 Zn</t>
  </si>
  <si>
    <t>Silver, 99.9% pure</t>
  </si>
  <si>
    <t>Bronze, 75 Cu, 25 Sn</t>
  </si>
  <si>
    <t xml:space="preserve">Steel,18 Cr, 8 Ni </t>
  </si>
  <si>
    <t>CONDUCTIVITIES &amp; DENSITIES</t>
  </si>
  <si>
    <t>Brick, common building</t>
  </si>
  <si>
    <t>Concrete, stone, 1-2-4 mix</t>
  </si>
  <si>
    <t>Wood, fir</t>
  </si>
  <si>
    <t>Wood, white pine</t>
  </si>
  <si>
    <t>Glass, window</t>
  </si>
  <si>
    <t>Glass Wool, 1.5 lb/ft^3</t>
  </si>
  <si>
    <t>Units =</t>
  </si>
  <si>
    <t>Multiply by =</t>
  </si>
  <si>
    <t>Units Obtained =</t>
  </si>
  <si>
    <t>Obtained</t>
  </si>
  <si>
    <t>Divide by =</t>
  </si>
  <si>
    <t>Use the above units table from left to right:</t>
  </si>
  <si>
    <t>Use the above units table from right to left:</t>
  </si>
  <si>
    <t>CONVECTION</t>
  </si>
  <si>
    <t>Convection is heat transfer by the movement of heated gasses and liquids.</t>
  </si>
  <si>
    <t>OVERALL HEAT TRANSFER COEFFICIENT U</t>
  </si>
  <si>
    <t>W / m-C</t>
  </si>
  <si>
    <t>lbm / hr-ft</t>
  </si>
  <si>
    <t>kg / sec-m</t>
  </si>
  <si>
    <t>m^2 / s</t>
  </si>
  <si>
    <t>lbm / sec-ft</t>
  </si>
  <si>
    <t>ft^2 / sec</t>
  </si>
  <si>
    <t>The heat flow rate, Q,  is the same through each layer in the diagram above.</t>
  </si>
  <si>
    <t>Heat transfer per unit area,  Q / A =</t>
  </si>
  <si>
    <t>Heat intensity =</t>
  </si>
  <si>
    <t>Xa / Ka</t>
  </si>
  <si>
    <t>Xb / Kb</t>
  </si>
  <si>
    <t>Xc / Kc</t>
  </si>
  <si>
    <t>Xa =</t>
  </si>
  <si>
    <t>Ra =</t>
  </si>
  <si>
    <t>Xb =</t>
  </si>
  <si>
    <t>Xc =</t>
  </si>
  <si>
    <t>Rb =</t>
  </si>
  <si>
    <t>Rc =</t>
  </si>
  <si>
    <t>Ka =</t>
  </si>
  <si>
    <t>Kb =</t>
  </si>
  <si>
    <t>Kc =</t>
  </si>
  <si>
    <t>U*(∆T)</t>
  </si>
  <si>
    <t>∆T =</t>
  </si>
  <si>
    <t>1 / (A * Σ Rn)</t>
  </si>
  <si>
    <t xml:space="preserve"> Rc =</t>
  </si>
  <si>
    <t>Overall heat transfer rate,  Q / A =</t>
  </si>
  <si>
    <t>Ra + Rb + Rc</t>
  </si>
  <si>
    <t>Answer:  ∆T =</t>
  </si>
  <si>
    <t>Answer:  U =</t>
  </si>
  <si>
    <t>Equation 1</t>
  </si>
  <si>
    <t>Internal temperatures are found from Equation-1 above:</t>
  </si>
  <si>
    <t>Convective Heat Transfer Coefficient</t>
  </si>
  <si>
    <t>Characteristic Length L</t>
  </si>
  <si>
    <t>Conduction through wall and air films on each side of the wall.</t>
  </si>
  <si>
    <t>ft^2</t>
  </si>
  <si>
    <t xml:space="preserve">ft </t>
  </si>
  <si>
    <t>Wall thickness,  X =</t>
  </si>
  <si>
    <t>Find the heat transfer rate Q and the inner and outer wall surface temperatures.</t>
  </si>
  <si>
    <t>Wall area,  A =</t>
  </si>
  <si>
    <t>Inside temperature,  t1 =</t>
  </si>
  <si>
    <t>Outside temperature,  t4 =</t>
  </si>
  <si>
    <t>t1 - t4</t>
  </si>
  <si>
    <t>ΣR =</t>
  </si>
  <si>
    <t>∆T / ΣR</t>
  </si>
  <si>
    <t>Btu / hr-ft^2</t>
  </si>
  <si>
    <t>(t1 - t2) / (Xa / Ka)</t>
  </si>
  <si>
    <t>Answer:  t2 =</t>
  </si>
  <si>
    <t>Answer:  t3 =</t>
  </si>
  <si>
    <t>t1 -t2</t>
  </si>
  <si>
    <t>(t1 -t4) / (Ra + Rb + Rc)</t>
  </si>
  <si>
    <t>(t1 - t2) / (Ra)</t>
  </si>
  <si>
    <t>t1 -(Q/A)*(Ra)</t>
  </si>
  <si>
    <t>1 / ha</t>
  </si>
  <si>
    <t>1 / hc</t>
  </si>
  <si>
    <t>(t3 - t4) / (Rc)</t>
  </si>
  <si>
    <t>t4 + (Q/A)*(Rc)</t>
  </si>
  <si>
    <t>RADIATION</t>
  </si>
  <si>
    <t>What is the heat loss per unit area of  the duct?</t>
  </si>
  <si>
    <t>a black body surface (A) is,  Eb =</t>
  </si>
  <si>
    <t>Two Dimensional Heat Transfer</t>
  </si>
  <si>
    <t>The steady state energy balance on the interior nodal point N is:</t>
  </si>
  <si>
    <t>0 =</t>
  </si>
  <si>
    <t>Q1-N + Q2-N + Q3-N + Q4-N</t>
  </si>
  <si>
    <t>Q1-N =</t>
  </si>
  <si>
    <t>K*L*(∆Y)*(T1 - TN) / (∆X)</t>
  </si>
  <si>
    <t>Q2-N =</t>
  </si>
  <si>
    <t>K*L*(∆Y)*(T3 - TN) / (∆X)</t>
  </si>
  <si>
    <t>Q3-N =</t>
  </si>
  <si>
    <t>Q4-N =</t>
  </si>
  <si>
    <t>K*L*(∆X)*(T2 - TN) / (∆Y)</t>
  </si>
  <si>
    <t>K*L*(∆X)*(T4 - TN) / (∆Y)</t>
  </si>
  <si>
    <t>Finite difference equations for each conductive flux:</t>
  </si>
  <si>
    <t>If ∆X equals ∆Y:</t>
  </si>
  <si>
    <t>T1 +T2 + T3 + T4 -4*TN</t>
  </si>
  <si>
    <t>400 + 500 + T2 + T4 - 4*T1</t>
  </si>
  <si>
    <t>T1 + 500 + 200 + T3 - 4*T2</t>
  </si>
  <si>
    <t>T4 + T2 + 200 + 300 - 4*T3</t>
  </si>
  <si>
    <t>400 + T1 + T3 + 300 - 4*T4</t>
  </si>
  <si>
    <t>400 + 100 + T2 + T4 - 4*T1</t>
  </si>
  <si>
    <t>T1 + 100 + T3 + T5 - 4*T2</t>
  </si>
  <si>
    <t>T2 + 100 + 100 + T6 - 4*T3</t>
  </si>
  <si>
    <t>400 + T1 + T5 + T7 - 4*T4</t>
  </si>
  <si>
    <t>T4 + T2 + T6 + T8 - 4*T5</t>
  </si>
  <si>
    <t>T5 + T3 + 100 + T9 - 4*T6</t>
  </si>
  <si>
    <t>T7 + T5 + T9 + 200 - 4*T8</t>
  </si>
  <si>
    <t>T8 + T6 + 100 + 200 - 4*T9</t>
  </si>
  <si>
    <t>Node 1</t>
  </si>
  <si>
    <t>Node 2</t>
  </si>
  <si>
    <t>Node 3</t>
  </si>
  <si>
    <t>Node 4</t>
  </si>
  <si>
    <t>400 + T4 + T8 + 200 - 4*T7</t>
  </si>
  <si>
    <t>Heat Transmission Through Air Films and Solids</t>
  </si>
  <si>
    <t>Inside convective coefficient, ha =</t>
  </si>
  <si>
    <t>Outside convective coefficient, hc =</t>
  </si>
  <si>
    <t>Heat convection, air layer, Q =</t>
  </si>
  <si>
    <t>Heat transfer (Q) is the flow rate of heat and is measured in Watts or Btu's per hour.</t>
  </si>
  <si>
    <t>Air Properties at temperature, Th, from table below:</t>
  </si>
  <si>
    <t>Input Data-1</t>
  </si>
  <si>
    <t>Input Data-2</t>
  </si>
  <si>
    <t>Input Data-3</t>
  </si>
  <si>
    <t>Length, L=(height x width) / (height + width) = L =</t>
  </si>
  <si>
    <t>Plate characteristic length,  L =</t>
  </si>
  <si>
    <t>Convective Heat Transfer Coefficient Calculation - Pick Horizontal or Vertical Plate:</t>
  </si>
  <si>
    <t>C and n below are found in the table above for the Gr*Pr value calculated here.</t>
  </si>
  <si>
    <t>Fins are used to increase heat transfer area</t>
  </si>
  <si>
    <t>Temperature at fin base - Room Temperature,  ΔT =</t>
  </si>
  <si>
    <t>Case 1. Fin, finite length, heat loss by convection at end.</t>
  </si>
  <si>
    <t>Fin length,  L =</t>
  </si>
  <si>
    <t>Temperature difference,  ΔT =</t>
  </si>
  <si>
    <t>T1 - T2</t>
  </si>
  <si>
    <t xml:space="preserve">  ΔT =</t>
  </si>
  <si>
    <t>Temperature at fin base,  T1 =</t>
  </si>
  <si>
    <t xml:space="preserve"> n*L =</t>
  </si>
  <si>
    <t>sinh(n*L) =</t>
  </si>
  <si>
    <t xml:space="preserve"> cosh(n*L) =</t>
  </si>
  <si>
    <t>Case 2. Fin, finite length (L) insulated end.</t>
  </si>
  <si>
    <t>Fin efficiency,  η =</t>
  </si>
  <si>
    <t>Fin Efficiency</t>
  </si>
  <si>
    <t>Turbulent flow in coiled tube.</t>
  </si>
  <si>
    <t>Water properties at temperature Tb deg C from the table above:</t>
  </si>
  <si>
    <t>Forced Convection - in Coiled Tube Heat Exchangers</t>
  </si>
  <si>
    <t xml:space="preserve">Disregarding tube fouling, determine the tube length required: </t>
  </si>
  <si>
    <t>Logarithmic temperature difference,  ΔTm =</t>
  </si>
  <si>
    <t>S.I. Answer from above:  h =</t>
  </si>
  <si>
    <t>h *Ai / Ao</t>
  </si>
  <si>
    <t>h *di / do</t>
  </si>
  <si>
    <t>Temp. of water flowing in, Ta =</t>
  </si>
  <si>
    <t>Temp. of water flowing out, Tb =</t>
  </si>
  <si>
    <t>Answer:  ΔTbc=</t>
  </si>
  <si>
    <t>Water bulk temperature,  Tb =</t>
  </si>
  <si>
    <t>Room Temperature,  T2 =</t>
  </si>
  <si>
    <t>(T1 + T2)/ 2 + (h*∆X / k)*T∞ - (h*∆X / k + 1)*Tn</t>
  </si>
  <si>
    <t>Ambient temperature,  T∞ =</t>
  </si>
  <si>
    <t>Convective heat transfer coefficient, hc =</t>
  </si>
  <si>
    <t>Conductivity,  k =</t>
  </si>
  <si>
    <t>Grid spacing,  ∆X = ∆Y =</t>
  </si>
  <si>
    <t>T1 + T4 + (T2 + T3)/ 2 + (h*∆X / k)*T∞ - (h*∆X / k + 3)*Tn</t>
  </si>
  <si>
    <t>(T1 + T2)/ 2 + T3 - 2*Tn</t>
  </si>
  <si>
    <t>T1 / a*(a + 1) + T2 / (b + 1) + T3 / (a + 1) + T4 / b*(b + 1)</t>
  </si>
  <si>
    <t>- (1/a + 1/b)*Tn</t>
  </si>
  <si>
    <t>(K*Ab*n*ΔT)*X1 / X2</t>
  </si>
  <si>
    <t>(2*h/K*t)^.5</t>
  </si>
  <si>
    <t>N*(K*A*n*ΔT)*(X1 / X2))</t>
  </si>
  <si>
    <t>N*(K*A*n*ΔT)*tanh(n*L)</t>
  </si>
  <si>
    <t>Fin width,  w =</t>
  </si>
  <si>
    <t>Fin thickness,  t =</t>
  </si>
  <si>
    <t>Fin base area,  A =</t>
  </si>
  <si>
    <t xml:space="preserve">  n =</t>
  </si>
  <si>
    <t xml:space="preserve"> h / n*K =</t>
  </si>
  <si>
    <t xml:space="preserve">  X2 =</t>
  </si>
  <si>
    <t>t1 - (Q*X) / (K*A)</t>
  </si>
  <si>
    <t>Thickness in inches,  X =</t>
  </si>
  <si>
    <t>Dimension in inches,  L1 =</t>
  </si>
  <si>
    <t>Dimension in inches,  L2 =</t>
  </si>
  <si>
    <t>K*A*(t1 - t2) / (X*0.0254)</t>
  </si>
  <si>
    <t>(L1*L2)*0.0254^2</t>
  </si>
  <si>
    <t>Heat source on t1 side,  Q =</t>
  </si>
  <si>
    <t xml:space="preserve">Stainless Steel,18 Cr, 8 Ni </t>
  </si>
  <si>
    <t>Wall material conductivity,  K =</t>
  </si>
  <si>
    <t>X / K</t>
  </si>
  <si>
    <t xml:space="preserve">Drop down menu: Tools &gt; Protection &gt; Unprotect Sheet &gt; OK </t>
  </si>
  <si>
    <t>When Excel's Goal Seek is not needed, restore protection with:</t>
  </si>
  <si>
    <t xml:space="preserve">Drop down menu: Tools &gt; Protection &gt; Protect Sheet &gt; OK </t>
  </si>
  <si>
    <t>P11</t>
  </si>
  <si>
    <t>When using Excel's Goal Seek, unprotect the spread sheet by selecting:</t>
  </si>
  <si>
    <t>Heat source,  Q =</t>
  </si>
  <si>
    <t>This is the end of this spread sheet.</t>
  </si>
  <si>
    <t>MATH TOOLS</t>
  </si>
  <si>
    <t>mm/mm</t>
  </si>
  <si>
    <t>in or mm</t>
  </si>
  <si>
    <t xml:space="preserve"> h =</t>
  </si>
  <si>
    <t>Gravitational constant,  g =</t>
  </si>
  <si>
    <t>Boundary layer volume coefficient of expansion,  β =</t>
  </si>
  <si>
    <t>Prandtl number,  Pr =</t>
  </si>
  <si>
    <t xml:space="preserve"> Air density,  ρ =</t>
  </si>
  <si>
    <t>Air conductivity,  k =</t>
  </si>
  <si>
    <t>Ideal heat transfer occurs when the entire fin is at its base temperature.</t>
  </si>
  <si>
    <t>W/ m*C</t>
  </si>
  <si>
    <t>Actual Q / Ideal Q</t>
  </si>
  <si>
    <t>(K*A*n)</t>
  </si>
  <si>
    <t>(h*P*K*A)^.5*ΔT*(tanh(n*L))</t>
  </si>
  <si>
    <t>(h*P*K*A)^.5 =</t>
  </si>
  <si>
    <t>Fin width, meters,  w =</t>
  </si>
  <si>
    <t>Fin thickness, meters,   t =</t>
  </si>
  <si>
    <t>Fin length, meters,   L =</t>
  </si>
  <si>
    <t xml:space="preserve">  P =</t>
  </si>
  <si>
    <t xml:space="preserve"> Af =</t>
  </si>
  <si>
    <t>Qa =</t>
  </si>
  <si>
    <t xml:space="preserve"> Qi =</t>
  </si>
  <si>
    <t>Fin base area,  Ab =</t>
  </si>
  <si>
    <t>h*P/(K*Ab)</t>
  </si>
  <si>
    <t>(h*Af*ΔT)</t>
  </si>
  <si>
    <t>Two Fin face areas,  Af =</t>
  </si>
  <si>
    <t>2*L*w</t>
  </si>
  <si>
    <t>Wall length,  L =</t>
  </si>
  <si>
    <t>Wall height,  H =</t>
  </si>
  <si>
    <t>Metric Units</t>
  </si>
  <si>
    <t>Symbol</t>
  </si>
  <si>
    <t>Q</t>
  </si>
  <si>
    <t>L</t>
  </si>
  <si>
    <t>F</t>
  </si>
  <si>
    <t>h</t>
  </si>
  <si>
    <t xml:space="preserve"> μ</t>
  </si>
  <si>
    <t>Cp</t>
  </si>
  <si>
    <t>μ</t>
  </si>
  <si>
    <t xml:space="preserve"> ν</t>
  </si>
  <si>
    <t>w</t>
  </si>
  <si>
    <t>L*H / 144</t>
  </si>
  <si>
    <t>A*∆T / ΣR</t>
  </si>
  <si>
    <t>1 / U =</t>
  </si>
  <si>
    <t xml:space="preserve">  Rb =</t>
  </si>
  <si>
    <t xml:space="preserve">  Ra =</t>
  </si>
  <si>
    <t>Ro =</t>
  </si>
  <si>
    <t>1 / ho</t>
  </si>
  <si>
    <t>R5 =</t>
  </si>
  <si>
    <t>1 / h5</t>
  </si>
  <si>
    <t>Ro+R1+Ra+Rb+Rc+R5</t>
  </si>
  <si>
    <t>1/ho + Xa / Ka + Xb / Kb + Xc / Kc + 1/h5</t>
  </si>
  <si>
    <t>Thermal Resistances</t>
  </si>
  <si>
    <t>Overall heat transfer coefficient</t>
  </si>
  <si>
    <t>Inside convective coefficient, ho =</t>
  </si>
  <si>
    <t>Outside convective coefficient, h5 =</t>
  </si>
  <si>
    <t>Thermal resistance for layer o, Ro =</t>
  </si>
  <si>
    <t>1/ ho</t>
  </si>
  <si>
    <t>Thermal resistance for layer a, Ra =</t>
  </si>
  <si>
    <t>Thermal Resistances of Layers</t>
  </si>
  <si>
    <t>Overall heat transfer coefficient, U =</t>
  </si>
  <si>
    <t>Overall temperature difference, ∆T=</t>
  </si>
  <si>
    <t>to - t5</t>
  </si>
  <si>
    <t>to =</t>
  </si>
  <si>
    <t>t5 =</t>
  </si>
  <si>
    <t>U*A*(∆T)</t>
  </si>
  <si>
    <t>U.S. Units</t>
  </si>
  <si>
    <t>(to - t1) / (1 / ho)</t>
  </si>
  <si>
    <t>Answer:  t1 =</t>
  </si>
  <si>
    <t>to - (Q/A)*(1 / ho)</t>
  </si>
  <si>
    <t>Surface temperature is found from Equation-1 above:</t>
  </si>
  <si>
    <t>Internal temperature follows:</t>
  </si>
  <si>
    <t>t1 - (Q/A)*(Xa / Ka)</t>
  </si>
  <si>
    <t>L*H*0.0929 / 144</t>
  </si>
  <si>
    <t xml:space="preserve">Thermal Resistances: </t>
  </si>
  <si>
    <t>Thermal conductivity,  Ka =</t>
  </si>
  <si>
    <t>Thermal conductivity,  Kb =</t>
  </si>
  <si>
    <t>Thermal conductivity,  Kc =</t>
  </si>
  <si>
    <t>Thickness,  Xa =</t>
  </si>
  <si>
    <t xml:space="preserve">Heat transfer is measured in feet and meter units. </t>
  </si>
  <si>
    <t>1 / (1/ho + L/K + 1/h1</t>
  </si>
  <si>
    <t>Plane wall heat transfer coefficient,  U =</t>
  </si>
  <si>
    <t>Cylindrical wall heat transfer coefficient,  U =</t>
  </si>
  <si>
    <t>1 / (1/hi + [RoLn(Ro/Ri)]/K + Ri/Ro)</t>
  </si>
  <si>
    <t>U*A*∆Tm</t>
  </si>
  <si>
    <t>Large temperature difference, ΔTbc =</t>
  </si>
  <si>
    <t>Small temperature difference, ΔTad =</t>
  </si>
  <si>
    <t>The added resistance to heat transfer caused by corrosion is called fouling.</t>
  </si>
  <si>
    <t>Fouling factor,  R =</t>
  </si>
  <si>
    <t>(1/Udirty) - (1/Uclean)</t>
  </si>
  <si>
    <t>Fouling factor,  R  ranges between 0.0005 and 0.002. See manufactures data.</t>
  </si>
  <si>
    <t>Logarithmic mean temp. difference,  ΔTm =</t>
  </si>
  <si>
    <t>Large temperature difference,  ΔTbc =</t>
  </si>
  <si>
    <t>Small temperature difference,   ΔTad =</t>
  </si>
  <si>
    <t xml:space="preserve"> Water density,  ρ =</t>
  </si>
  <si>
    <t>Water conductivity,  k =</t>
  </si>
  <si>
    <t>Factor, n =</t>
  </si>
  <si>
    <t>Water dynamic viscosity,  μ =</t>
  </si>
  <si>
    <t>Air dynamic viscosity,  μ =</t>
  </si>
  <si>
    <t>Radiant heat energy is proportional to the 4th power of the absolute temperature.</t>
  </si>
  <si>
    <t>Q is the radiant thermal flux per square foot reflected by the wall.</t>
  </si>
  <si>
    <t>Radiant thermal flux reflected,  Q =</t>
  </si>
  <si>
    <t>deg F + 460</t>
  </si>
  <si>
    <t>Heat always travels from an area of higher temperature to an area of lower temperature.</t>
  </si>
  <si>
    <t>the fins will insulate and prevent heat flow.</t>
  </si>
  <si>
    <t>Counter &amp; Parallel Flow Heat Exchanger Tube Length Calculation</t>
  </si>
  <si>
    <t>i and o refer to inside and outside tube surfaces.</t>
  </si>
  <si>
    <t>The tube length required,  L =</t>
  </si>
  <si>
    <t>absorbtivity</t>
  </si>
  <si>
    <t xml:space="preserve">An ideal black body absorbs all incident </t>
  </si>
  <si>
    <t xml:space="preserve">The total hemispherical heat radiation from </t>
  </si>
  <si>
    <t>Configuration or Emissivity Factor, CF =</t>
  </si>
  <si>
    <t>Duct emissivity,  ε =</t>
  </si>
  <si>
    <t>Arrangement or Emissivity Factor,  CF =</t>
  </si>
  <si>
    <t>Thickness into page.</t>
  </si>
  <si>
    <t>%</t>
  </si>
  <si>
    <t>ΔTbc =</t>
  </si>
  <si>
    <t>ΔTad =</t>
  </si>
  <si>
    <t>From Input Data below.</t>
  </si>
  <si>
    <t xml:space="preserve">John Andrew LLC </t>
  </si>
  <si>
    <t>Copyright © 6/7/2006</t>
  </si>
  <si>
    <t>Overall temperature difference,  ∆T =</t>
  </si>
  <si>
    <r>
      <t>Length,</t>
    </r>
    <r>
      <rPr>
        <b/>
        <sz val="12"/>
        <rFont val="Arial"/>
        <family val="2"/>
      </rPr>
      <t xml:space="preserve">  L = </t>
    </r>
  </si>
  <si>
    <r>
      <t xml:space="preserve">Material Coefficient, </t>
    </r>
    <r>
      <rPr>
        <b/>
        <sz val="12"/>
        <rFont val="Arial"/>
        <family val="2"/>
      </rPr>
      <t xml:space="preserve"> α =</t>
    </r>
  </si>
  <si>
    <r>
      <t xml:space="preserve">Temperature Change, </t>
    </r>
    <r>
      <rPr>
        <b/>
        <sz val="12"/>
        <rFont val="Arial"/>
        <family val="2"/>
      </rPr>
      <t xml:space="preserve"> Δt =</t>
    </r>
  </si>
  <si>
    <t>Heat in the form of radiation travels through space at the speed of light.</t>
  </si>
  <si>
    <t>Fraction of heat energy absorbed,  α =</t>
  </si>
  <si>
    <t>By definition,   α + ρ + τ =</t>
  </si>
  <si>
    <t>radiation so that,  α =</t>
  </si>
  <si>
    <t xml:space="preserve">Glass Wool </t>
  </si>
  <si>
    <t>Brick, Diatomacious</t>
  </si>
  <si>
    <r>
      <t xml:space="preserve">3. </t>
    </r>
    <r>
      <rPr>
        <b/>
        <sz val="12"/>
        <rFont val="Arial"/>
        <family val="2"/>
      </rPr>
      <t>Answer:  X = will be calculated.</t>
    </r>
  </si>
  <si>
    <r>
      <t xml:space="preserve">4. Automatic calculations are </t>
    </r>
    <r>
      <rPr>
        <b/>
        <sz val="12"/>
        <rFont val="Arial"/>
        <family val="2"/>
      </rPr>
      <t>bold type</t>
    </r>
    <r>
      <rPr>
        <sz val="12"/>
        <rFont val="Arial"/>
        <family val="2"/>
      </rPr>
      <t>.</t>
    </r>
  </si>
  <si>
    <t xml:space="preserve">Node  1 </t>
  </si>
  <si>
    <t xml:space="preserve">Node  2 </t>
  </si>
  <si>
    <t xml:space="preserve">Node  3 </t>
  </si>
  <si>
    <t xml:space="preserve">Node  4 </t>
  </si>
  <si>
    <t>=</t>
  </si>
  <si>
    <t>Easy Equation Solver:</t>
  </si>
  <si>
    <t>Follow the example provide in this app.</t>
  </si>
  <si>
    <t>FOR INFORMATION ONLY - NOT INCLUDED IN THE TEST</t>
  </si>
  <si>
    <t xml:space="preserve">Unlock a worksheet with "Unprotect" </t>
  </si>
  <si>
    <t>Step-1</t>
  </si>
  <si>
    <t xml:space="preserve">HOME </t>
  </si>
  <si>
    <t>Step-2</t>
  </si>
  <si>
    <t xml:space="preserve">Format </t>
  </si>
  <si>
    <t>Step-3</t>
  </si>
  <si>
    <t>Unprotect Sheet</t>
  </si>
  <si>
    <t>Step-4</t>
  </si>
  <si>
    <t>OK</t>
  </si>
  <si>
    <t xml:space="preserve">Lock a worksheet with "Protect Sheet" </t>
  </si>
  <si>
    <t>Protect Sheet Box Opens</t>
  </si>
  <si>
    <t>Step-5</t>
  </si>
  <si>
    <t>NEW EXCEL</t>
  </si>
  <si>
    <t>OLD EXCEL</t>
  </si>
  <si>
    <t>Step-6</t>
  </si>
  <si>
    <t>Step-7</t>
  </si>
  <si>
    <t>Protect Sheet</t>
  </si>
  <si>
    <t>Password is not required.</t>
  </si>
  <si>
    <t>Check the "Protect Sheet" two boxes right &gt;&gt;</t>
  </si>
  <si>
    <t>Select Unlocked Cells</t>
  </si>
  <si>
    <t>Format Cells</t>
  </si>
  <si>
    <t>Step</t>
  </si>
  <si>
    <t>Enter</t>
  </si>
  <si>
    <t>Follow Steps&gt;&gt;</t>
  </si>
  <si>
    <t xml:space="preserve">GOAL SEEK </t>
  </si>
  <si>
    <t>H =</t>
  </si>
  <si>
    <t>lbs</t>
  </si>
  <si>
    <t>Format</t>
  </si>
  <si>
    <t>Input</t>
  </si>
  <si>
    <t>V =</t>
  </si>
  <si>
    <t>llbs</t>
  </si>
  <si>
    <t>Horizontal force, H =</t>
  </si>
  <si>
    <t>TAN(A) =</t>
  </si>
  <si>
    <t>V/H</t>
  </si>
  <si>
    <t>Number</t>
  </si>
  <si>
    <t>Vertical force, V =</t>
  </si>
  <si>
    <t>number</t>
  </si>
  <si>
    <t>Decimal Places</t>
  </si>
  <si>
    <t>Angle  A =</t>
  </si>
  <si>
    <t>ATAN(V/H)</t>
  </si>
  <si>
    <t>Resultant force, R =</t>
  </si>
  <si>
    <t>( H^2 + V^2 )^(1/2)</t>
  </si>
  <si>
    <t>radians</t>
  </si>
  <si>
    <t>A radians =</t>
  </si>
  <si>
    <t xml:space="preserve">57.3*A </t>
  </si>
  <si>
    <t>degrees</t>
  </si>
  <si>
    <t>Angle, A =</t>
  </si>
  <si>
    <t>57.30 * ATAN(V / H)</t>
  </si>
  <si>
    <t>57.3*A</t>
  </si>
  <si>
    <t>deg</t>
  </si>
  <si>
    <t>GOAL SEEK method</t>
  </si>
  <si>
    <t>Step-1  Select the green cell C38 containing a formula.</t>
  </si>
  <si>
    <t>Step-2  Select: DATA  &gt; What-If Analysis &gt; Goal Seek</t>
  </si>
  <si>
    <t>Step-3  To value: 14, for example</t>
  </si>
  <si>
    <t>Step-4  Pick cell containing value to be changed by Excel: C34 or C35 &gt; OK</t>
  </si>
  <si>
    <t>Select &gt; OK and "Goal Seek Status'&gt;&gt; will open &gt; OK</t>
  </si>
  <si>
    <t>CONDUCTION</t>
  </si>
  <si>
    <t>Calculate</t>
  </si>
  <si>
    <t>END OF SECTION</t>
  </si>
  <si>
    <t xml:space="preserve">  0 =</t>
  </si>
  <si>
    <t>Node</t>
  </si>
  <si>
    <t>a</t>
  </si>
  <si>
    <t>b</t>
  </si>
  <si>
    <t>c</t>
  </si>
  <si>
    <t>d</t>
  </si>
  <si>
    <t>e</t>
  </si>
  <si>
    <t>g</t>
  </si>
  <si>
    <t>f</t>
  </si>
  <si>
    <t>i</t>
  </si>
  <si>
    <t>500 + b + d - 4*a</t>
  </si>
  <si>
    <t>a + 100 + c + e - 4*b</t>
  </si>
  <si>
    <t>b + 200  + f - 4*c</t>
  </si>
  <si>
    <t>400 + a + e + g - 4*d</t>
  </si>
  <si>
    <t>d + b + f + h - 4*e</t>
  </si>
  <si>
    <t>e + c + 100 + i - 4*f</t>
  </si>
  <si>
    <t>600 + d + h  - 4*g</t>
  </si>
  <si>
    <t>g + e + i + 200 - 4*h</t>
  </si>
  <si>
    <t>h + f + 300 - 4*i</t>
  </si>
  <si>
    <t>Written Equations</t>
  </si>
  <si>
    <t>Next</t>
  </si>
  <si>
    <t>See Example</t>
  </si>
  <si>
    <t>Select you variables &gt; a,b,c,d,</t>
  </si>
  <si>
    <t>Continue</t>
  </si>
  <si>
    <t>Insert your equatins below</t>
  </si>
  <si>
    <t>- Empty -</t>
  </si>
  <si>
    <t>function : 123 : variable</t>
  </si>
  <si>
    <t>+   -</t>
  </si>
  <si>
    <t>a + 700 + c - 4b</t>
  </si>
  <si>
    <t>d + b + 500 - 4c</t>
  </si>
  <si>
    <t>700 + a + c - 4d</t>
  </si>
  <si>
    <t>900 + b + d - 4a</t>
  </si>
  <si>
    <t>tap for +  or hold for  -</t>
  </si>
  <si>
    <t>Solutions</t>
  </si>
  <si>
    <t>Google apps are free</t>
  </si>
  <si>
    <t>Select -Empty- and enter first equation</t>
  </si>
  <si>
    <t>Repeat</t>
  </si>
  <si>
    <t>&lt;&lt;&lt;&lt;</t>
  </si>
  <si>
    <t>Original Equations</t>
  </si>
  <si>
    <t>Final Equations</t>
  </si>
  <si>
    <t xml:space="preserve"> 0 =</t>
  </si>
  <si>
    <t>External Temperatures</t>
  </si>
  <si>
    <t>Internal Temperatures</t>
  </si>
  <si>
    <r>
      <t xml:space="preserve">* </t>
    </r>
    <r>
      <rPr>
        <b/>
        <sz val="12"/>
        <rFont val="Arial"/>
        <family val="2"/>
      </rPr>
      <t>Conduction</t>
    </r>
    <r>
      <rPr>
        <sz val="12"/>
        <rFont val="Arial"/>
        <family val="2"/>
      </rPr>
      <t xml:space="preserve"> - heat transfer by spreading through solids.</t>
    </r>
  </si>
  <si>
    <r>
      <t xml:space="preserve">* </t>
    </r>
    <r>
      <rPr>
        <b/>
        <sz val="12"/>
        <rFont val="Arial"/>
        <family val="2"/>
      </rPr>
      <t>Convection</t>
    </r>
    <r>
      <rPr>
        <sz val="12"/>
        <rFont val="Arial"/>
        <family val="2"/>
      </rPr>
      <t xml:space="preserve"> - heat transfer by the movement of heated gasses and liquids.</t>
    </r>
  </si>
  <si>
    <r>
      <t xml:space="preserve">* </t>
    </r>
    <r>
      <rPr>
        <b/>
        <sz val="12"/>
        <rFont val="Arial"/>
        <family val="2"/>
      </rPr>
      <t>Radiation</t>
    </r>
    <r>
      <rPr>
        <sz val="12"/>
        <rFont val="Arial"/>
        <family val="2"/>
      </rPr>
      <t xml:space="preserve"> - heat in the form of radiation that travels through space at the speed of light.</t>
    </r>
  </si>
  <si>
    <t>Linear Equation Solver</t>
  </si>
  <si>
    <t xml:space="preserve">                        External Temperatures</t>
  </si>
  <si>
    <t>M237 HEAT TRANSFER SPREADSHEETS</t>
  </si>
  <si>
    <t>Equation Mode</t>
  </si>
  <si>
    <t>Select -Empty- and enter last equation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</si>
</sst>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0"/>
    <numFmt numFmtId="165" formatCode="0.00000"/>
    <numFmt numFmtId="166" formatCode="0.000"/>
    <numFmt numFmtId="167" formatCode="0.0"/>
    <numFmt numFmtId="169" formatCode="0.000E+00"/>
    <numFmt numFmtId="170" formatCode="0.000000"/>
    <numFmt numFmtId="172" formatCode="0.0000E+00"/>
  </numFmts>
  <fonts count="14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4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2" fillId="2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72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166" fontId="3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2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Border="1" applyAlignment="1">
      <alignment horizontal="center"/>
    </xf>
    <xf numFmtId="11" fontId="2" fillId="0" borderId="0" xfId="0" applyNumberFormat="1" applyFont="1" applyAlignment="1" applyProtection="1">
      <alignment horizontal="center"/>
      <protection locked="0"/>
    </xf>
    <xf numFmtId="169" fontId="2" fillId="0" borderId="0" xfId="0" applyNumberFormat="1" applyFont="1" applyAlignment="1" applyProtection="1">
      <alignment horizontal="center"/>
      <protection locked="0"/>
    </xf>
    <xf numFmtId="166" fontId="3" fillId="0" borderId="0" xfId="0" applyNumberFormat="1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2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1" xfId="0" applyNumberFormat="1" applyFont="1" applyBorder="1" applyAlignment="1" applyProtection="1">
      <alignment horizontal="center"/>
      <protection locked="0"/>
    </xf>
    <xf numFmtId="167" fontId="2" fillId="0" borderId="4" xfId="0" applyNumberFormat="1" applyFont="1" applyBorder="1" applyAlignment="1" applyProtection="1">
      <alignment horizontal="center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2" fontId="2" fillId="0" borderId="2" xfId="0" applyNumberFormat="1" applyFont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 applyProtection="1">
      <alignment horizontal="center"/>
      <protection locked="0"/>
    </xf>
    <xf numFmtId="167" fontId="3" fillId="0" borderId="0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167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167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  <protection locked="0"/>
    </xf>
    <xf numFmtId="2" fontId="3" fillId="0" borderId="2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167" fontId="2" fillId="0" borderId="1" xfId="0" applyNumberFormat="1" applyFont="1" applyBorder="1" applyAlignment="1" applyProtection="1">
      <alignment horizontal="center"/>
      <protection locked="0"/>
    </xf>
    <xf numFmtId="167" fontId="2" fillId="0" borderId="2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/>
    </xf>
    <xf numFmtId="0" fontId="3" fillId="0" borderId="0" xfId="0" quotePrefix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2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11" fontId="2" fillId="0" borderId="4" xfId="0" applyNumberFormat="1" applyFont="1" applyBorder="1" applyAlignment="1" applyProtection="1">
      <alignment horizontal="center"/>
      <protection locked="0"/>
    </xf>
    <xf numFmtId="11" fontId="2" fillId="0" borderId="0" xfId="0" applyNumberFormat="1" applyFont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11" fontId="3" fillId="0" borderId="0" xfId="0" applyNumberFormat="1" applyFont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6" fillId="0" borderId="0" xfId="0" applyFont="1"/>
    <xf numFmtId="0" fontId="2" fillId="0" borderId="0" xfId="0" applyFont="1" applyAlignment="1"/>
    <xf numFmtId="0" fontId="8" fillId="0" borderId="0" xfId="0" applyFont="1"/>
    <xf numFmtId="0" fontId="8" fillId="0" borderId="0" xfId="0" applyFont="1" applyProtection="1"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2" fontId="6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169" fontId="6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12" fillId="0" borderId="0" xfId="0" applyFont="1" applyAlignment="1">
      <alignment horizontal="left"/>
    </xf>
    <xf numFmtId="0" fontId="8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quotePrefix="1" applyFont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70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Alignment="1" applyProtection="1">
      <alignment horizontal="left"/>
      <protection locked="0"/>
    </xf>
    <xf numFmtId="2" fontId="3" fillId="2" borderId="0" xfId="0" applyNumberFormat="1" applyFont="1" applyFill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right"/>
      <protection locked="0"/>
    </xf>
    <xf numFmtId="2" fontId="10" fillId="0" borderId="0" xfId="0" applyNumberFormat="1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2" fontId="3" fillId="4" borderId="3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2" fontId="3" fillId="2" borderId="3" xfId="0" applyNumberFormat="1" applyFont="1" applyFill="1" applyBorder="1" applyAlignment="1" applyProtection="1">
      <alignment horizontal="left"/>
      <protection locked="0"/>
    </xf>
    <xf numFmtId="164" fontId="10" fillId="0" borderId="0" xfId="0" applyNumberFormat="1" applyFont="1" applyAlignment="1" applyProtection="1">
      <alignment horizontal="left"/>
      <protection locked="0"/>
    </xf>
    <xf numFmtId="164" fontId="10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167" fontId="3" fillId="5" borderId="3" xfId="0" applyNumberFormat="1" applyFont="1" applyFill="1" applyBorder="1" applyAlignment="1" applyProtection="1">
      <alignment horizontal="left"/>
      <protection locked="0"/>
    </xf>
    <xf numFmtId="2" fontId="10" fillId="0" borderId="0" xfId="0" applyNumberFormat="1" applyFont="1" applyAlignment="1">
      <alignment horizontal="left"/>
    </xf>
    <xf numFmtId="2" fontId="3" fillId="6" borderId="3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11" fillId="0" borderId="0" xfId="0" applyFont="1" applyAlignment="1" applyProtection="1">
      <alignment horizontal="right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2" fillId="0" borderId="0" xfId="0" applyFont="1" applyBorder="1" applyAlignment="1">
      <alignment horizontal="right"/>
    </xf>
    <xf numFmtId="0" fontId="2" fillId="0" borderId="0" xfId="0" applyFont="1" applyBorder="1" applyProtection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2" fillId="0" borderId="0" xfId="0" quotePrefix="1" applyFont="1"/>
    <xf numFmtId="0" fontId="2" fillId="0" borderId="5" xfId="0" applyFont="1" applyBorder="1"/>
    <xf numFmtId="0" fontId="2" fillId="0" borderId="8" xfId="0" quotePrefix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5" Type="http://schemas.openxmlformats.org/officeDocument/2006/relationships/image" Target="../media/image17.jpeg"/><Relationship Id="rId4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3" Type="http://schemas.openxmlformats.org/officeDocument/2006/relationships/image" Target="../media/image22.jpg"/><Relationship Id="rId7" Type="http://schemas.openxmlformats.org/officeDocument/2006/relationships/image" Target="../media/image26.jpg"/><Relationship Id="rId2" Type="http://schemas.openxmlformats.org/officeDocument/2006/relationships/image" Target="../media/image21.tif"/><Relationship Id="rId1" Type="http://schemas.openxmlformats.org/officeDocument/2006/relationships/image" Target="../media/image20.tif"/><Relationship Id="rId6" Type="http://schemas.openxmlformats.org/officeDocument/2006/relationships/image" Target="../media/image25.jpg"/><Relationship Id="rId5" Type="http://schemas.openxmlformats.org/officeDocument/2006/relationships/image" Target="../media/image24.jpg"/><Relationship Id="rId4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73</xdr:row>
      <xdr:rowOff>0</xdr:rowOff>
    </xdr:from>
    <xdr:to>
      <xdr:col>4</xdr:col>
      <xdr:colOff>34925</xdr:colOff>
      <xdr:row>80</xdr:row>
      <xdr:rowOff>66675</xdr:rowOff>
    </xdr:to>
    <xdr:pic>
      <xdr:nvPicPr>
        <xdr:cNvPr id="1714" name="Picture 30" descr="CONDUCTION-2">
          <a:extLst>
            <a:ext uri="{FF2B5EF4-FFF2-40B4-BE49-F238E27FC236}">
              <a16:creationId xmlns:a16="http://schemas.microsoft.com/office/drawing/2014/main" id="{131734A4-C7A5-457C-1E30-58D0F16E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4525625"/>
          <a:ext cx="29718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232</xdr:row>
      <xdr:rowOff>133350</xdr:rowOff>
    </xdr:from>
    <xdr:to>
      <xdr:col>4</xdr:col>
      <xdr:colOff>454025</xdr:colOff>
      <xdr:row>235</xdr:row>
      <xdr:rowOff>180975</xdr:rowOff>
    </xdr:to>
    <xdr:pic>
      <xdr:nvPicPr>
        <xdr:cNvPr id="1715" name="Picture 41" descr="CONDUCTION-4">
          <a:extLst>
            <a:ext uri="{FF2B5EF4-FFF2-40B4-BE49-F238E27FC236}">
              <a16:creationId xmlns:a16="http://schemas.microsoft.com/office/drawing/2014/main" id="{C5A522A1-B43F-A3D5-B36A-F3A136997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45920025"/>
          <a:ext cx="22764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220</xdr:row>
      <xdr:rowOff>76200</xdr:rowOff>
    </xdr:from>
    <xdr:to>
      <xdr:col>4</xdr:col>
      <xdr:colOff>530225</xdr:colOff>
      <xdr:row>230</xdr:row>
      <xdr:rowOff>114300</xdr:rowOff>
    </xdr:to>
    <xdr:pic>
      <xdr:nvPicPr>
        <xdr:cNvPr id="1716" name="Picture 42" descr="CONDUCTION-1">
          <a:extLst>
            <a:ext uri="{FF2B5EF4-FFF2-40B4-BE49-F238E27FC236}">
              <a16:creationId xmlns:a16="http://schemas.microsoft.com/office/drawing/2014/main" id="{61BE6B4A-D1A4-58CC-459C-23D49A324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43453050"/>
          <a:ext cx="14382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292</xdr:row>
      <xdr:rowOff>25400</xdr:rowOff>
    </xdr:from>
    <xdr:to>
      <xdr:col>1</xdr:col>
      <xdr:colOff>581025</xdr:colOff>
      <xdr:row>306</xdr:row>
      <xdr:rowOff>25400</xdr:rowOff>
    </xdr:to>
    <xdr:pic>
      <xdr:nvPicPr>
        <xdr:cNvPr id="1718" name="Picture 51" descr="D2-HEAT-TRANSFER-5">
          <a:extLst>
            <a:ext uri="{FF2B5EF4-FFF2-40B4-BE49-F238E27FC236}">
              <a16:creationId xmlns:a16="http://schemas.microsoft.com/office/drawing/2014/main" id="{18956F9C-94B4-7B30-A4FA-62CDCD38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59918600"/>
          <a:ext cx="3546475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539750</xdr:colOff>
      <xdr:row>261</xdr:row>
      <xdr:rowOff>82550</xdr:rowOff>
    </xdr:from>
    <xdr:to>
      <xdr:col>6</xdr:col>
      <xdr:colOff>155575</xdr:colOff>
      <xdr:row>272</xdr:row>
      <xdr:rowOff>66675</xdr:rowOff>
    </xdr:to>
    <xdr:pic>
      <xdr:nvPicPr>
        <xdr:cNvPr id="1721" name="Picture 58" descr="D2-HEAT-TRANSFER">
          <a:extLst>
            <a:ext uri="{FF2B5EF4-FFF2-40B4-BE49-F238E27FC236}">
              <a16:creationId xmlns:a16="http://schemas.microsoft.com/office/drawing/2014/main" id="{1CAC60A3-1BE6-FC11-B528-87CC9907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52304950"/>
          <a:ext cx="2130425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318</xdr:row>
      <xdr:rowOff>180975</xdr:rowOff>
    </xdr:from>
    <xdr:to>
      <xdr:col>1</xdr:col>
      <xdr:colOff>342900</xdr:colOff>
      <xdr:row>326</xdr:row>
      <xdr:rowOff>104775</xdr:rowOff>
    </xdr:to>
    <xdr:pic>
      <xdr:nvPicPr>
        <xdr:cNvPr id="1723" name="Picture 60" descr="BOUNDARY-1">
          <a:extLst>
            <a:ext uri="{FF2B5EF4-FFF2-40B4-BE49-F238E27FC236}">
              <a16:creationId xmlns:a16="http://schemas.microsoft.com/office/drawing/2014/main" id="{4302F166-6D04-C501-C1D1-8F39BA34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3931800"/>
          <a:ext cx="142875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334</xdr:row>
      <xdr:rowOff>47625</xdr:rowOff>
    </xdr:from>
    <xdr:to>
      <xdr:col>1</xdr:col>
      <xdr:colOff>247650</xdr:colOff>
      <xdr:row>344</xdr:row>
      <xdr:rowOff>85725</xdr:rowOff>
    </xdr:to>
    <xdr:pic>
      <xdr:nvPicPr>
        <xdr:cNvPr id="1724" name="Picture 61" descr="BOUNDARY-2">
          <a:extLst>
            <a:ext uri="{FF2B5EF4-FFF2-40B4-BE49-F238E27FC236}">
              <a16:creationId xmlns:a16="http://schemas.microsoft.com/office/drawing/2014/main" id="{44E166EA-6983-CA15-5735-5B18DEBE6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66922650"/>
          <a:ext cx="177165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1123950</xdr:colOff>
      <xdr:row>347</xdr:row>
      <xdr:rowOff>123825</xdr:rowOff>
    </xdr:from>
    <xdr:to>
      <xdr:col>1</xdr:col>
      <xdr:colOff>476250</xdr:colOff>
      <xdr:row>355</xdr:row>
      <xdr:rowOff>180975</xdr:rowOff>
    </xdr:to>
    <xdr:pic>
      <xdr:nvPicPr>
        <xdr:cNvPr id="1725" name="Picture 62" descr="BOUNDARY-3">
          <a:extLst>
            <a:ext uri="{FF2B5EF4-FFF2-40B4-BE49-F238E27FC236}">
              <a16:creationId xmlns:a16="http://schemas.microsoft.com/office/drawing/2014/main" id="{C874E786-FA78-BD85-DF50-A456F9B2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9484875"/>
          <a:ext cx="24193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981075</xdr:colOff>
      <xdr:row>357</xdr:row>
      <xdr:rowOff>142875</xdr:rowOff>
    </xdr:from>
    <xdr:to>
      <xdr:col>1</xdr:col>
      <xdr:colOff>342900</xdr:colOff>
      <xdr:row>367</xdr:row>
      <xdr:rowOff>152400</xdr:rowOff>
    </xdr:to>
    <xdr:pic>
      <xdr:nvPicPr>
        <xdr:cNvPr id="1726" name="Picture 63" descr="BOUNDARY-4">
          <a:extLst>
            <a:ext uri="{FF2B5EF4-FFF2-40B4-BE49-F238E27FC236}">
              <a16:creationId xmlns:a16="http://schemas.microsoft.com/office/drawing/2014/main" id="{A20D0792-0C28-9789-548D-60FE9F781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71437500"/>
          <a:ext cx="2428875" cy="1914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419100</xdr:colOff>
      <xdr:row>149</xdr:row>
      <xdr:rowOff>95250</xdr:rowOff>
    </xdr:from>
    <xdr:to>
      <xdr:col>9</xdr:col>
      <xdr:colOff>476250</xdr:colOff>
      <xdr:row>162</xdr:row>
      <xdr:rowOff>57150</xdr:rowOff>
    </xdr:to>
    <xdr:pic>
      <xdr:nvPicPr>
        <xdr:cNvPr id="1728" name="Picture 68" descr="CONDUCTION-33">
          <a:extLst>
            <a:ext uri="{FF2B5EF4-FFF2-40B4-BE49-F238E27FC236}">
              <a16:creationId xmlns:a16="http://schemas.microsoft.com/office/drawing/2014/main" id="{8383AEAA-B7C7-7387-69F0-D0B766BB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422725"/>
          <a:ext cx="2381250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124</xdr:row>
      <xdr:rowOff>142875</xdr:rowOff>
    </xdr:from>
    <xdr:to>
      <xdr:col>0</xdr:col>
      <xdr:colOff>2962275</xdr:colOff>
      <xdr:row>138</xdr:row>
      <xdr:rowOff>19050</xdr:rowOff>
    </xdr:to>
    <xdr:pic>
      <xdr:nvPicPr>
        <xdr:cNvPr id="1729" name="Picture 69" descr="CONDUCTION-33">
          <a:extLst>
            <a:ext uri="{FF2B5EF4-FFF2-40B4-BE49-F238E27FC236}">
              <a16:creationId xmlns:a16="http://schemas.microsoft.com/office/drawing/2014/main" id="{DAA08751-8143-842E-6DD9-72E7F84E9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4688800"/>
          <a:ext cx="2381250" cy="2543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1247775</xdr:colOff>
      <xdr:row>142</xdr:row>
      <xdr:rowOff>76200</xdr:rowOff>
    </xdr:from>
    <xdr:to>
      <xdr:col>3</xdr:col>
      <xdr:colOff>57150</xdr:colOff>
      <xdr:row>146</xdr:row>
      <xdr:rowOff>104775</xdr:rowOff>
    </xdr:to>
    <xdr:pic>
      <xdr:nvPicPr>
        <xdr:cNvPr id="1730" name="Picture 70" descr="CONDUCTION-44">
          <a:extLst>
            <a:ext uri="{FF2B5EF4-FFF2-40B4-BE49-F238E27FC236}">
              <a16:creationId xmlns:a16="http://schemas.microsoft.com/office/drawing/2014/main" id="{4D59C6F5-53D9-9787-1299-DCEA8093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28060650"/>
          <a:ext cx="37909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6349</xdr:colOff>
      <xdr:row>9</xdr:row>
      <xdr:rowOff>12700</xdr:rowOff>
    </xdr:from>
    <xdr:to>
      <xdr:col>11</xdr:col>
      <xdr:colOff>596915</xdr:colOff>
      <xdr:row>18</xdr:row>
      <xdr:rowOff>15875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F8F99B3-EC14-6216-474E-55C79EE8649C}"/>
            </a:ext>
          </a:extLst>
        </xdr:cNvPr>
        <xdr:cNvSpPr txBox="1"/>
      </xdr:nvSpPr>
      <xdr:spPr>
        <a:xfrm>
          <a:off x="1225549" y="3670300"/>
          <a:ext cx="4251325" cy="194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DISCLAIMER: The materials contained in the online course are not intended as a representation or warranty on the part of John</a:t>
          </a:r>
          <a:r>
            <a:rPr lang="en-US" sz="12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Andrew LLC</a:t>
          </a: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or any other person/organization named herein. The materials are for general information only. They are not a substitute for competent professional advice. Application of this information to a specific project should be reviewed by a registered professional engineer. Anyone making use of the information set forth herein does so at their own risk and assumes any and all resulting liability arising therefrom. </a:t>
          </a:r>
        </a:p>
        <a:p>
          <a:pPr>
            <a:lnSpc>
              <a:spcPts val="1300"/>
            </a:lnSpc>
          </a:pPr>
          <a:r>
            <a:rPr lang="en-US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en-US" sz="1100"/>
        </a:p>
      </xdr:txBody>
    </xdr:sp>
    <xdr:clientData/>
  </xdr:twoCellAnchor>
  <xdr:twoCellAnchor editAs="oneCell">
    <xdr:from>
      <xdr:col>2</xdr:col>
      <xdr:colOff>752475</xdr:colOff>
      <xdr:row>276</xdr:row>
      <xdr:rowOff>171450</xdr:rowOff>
    </xdr:from>
    <xdr:to>
      <xdr:col>7</xdr:col>
      <xdr:colOff>657225</xdr:colOff>
      <xdr:row>291</xdr:row>
      <xdr:rowOff>123825</xdr:rowOff>
    </xdr:to>
    <xdr:pic>
      <xdr:nvPicPr>
        <xdr:cNvPr id="5" name="Picture 49" descr="D2-HEAT-TRANSFER-4">
          <a:extLst>
            <a:ext uri="{FF2B5EF4-FFF2-40B4-BE49-F238E27FC236}">
              <a16:creationId xmlns:a16="http://schemas.microsoft.com/office/drawing/2014/main" id="{8AB01DA1-447B-4E93-8281-F054EF120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4730650"/>
          <a:ext cx="3886200" cy="284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79</xdr:row>
      <xdr:rowOff>76200</xdr:rowOff>
    </xdr:from>
    <xdr:to>
      <xdr:col>5</xdr:col>
      <xdr:colOff>323850</xdr:colOff>
      <xdr:row>89</xdr:row>
      <xdr:rowOff>95250</xdr:rowOff>
    </xdr:to>
    <xdr:pic>
      <xdr:nvPicPr>
        <xdr:cNvPr id="2228" name="Picture 1" descr="AIR-PROPERTIES">
          <a:extLst>
            <a:ext uri="{FF2B5EF4-FFF2-40B4-BE49-F238E27FC236}">
              <a16:creationId xmlns:a16="http://schemas.microsoft.com/office/drawing/2014/main" id="{C49B6474-8FA3-B361-D569-8878D127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582900"/>
          <a:ext cx="5715000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206</xdr:row>
      <xdr:rowOff>9525</xdr:rowOff>
    </xdr:from>
    <xdr:to>
      <xdr:col>5</xdr:col>
      <xdr:colOff>295275</xdr:colOff>
      <xdr:row>216</xdr:row>
      <xdr:rowOff>161925</xdr:rowOff>
    </xdr:to>
    <xdr:pic>
      <xdr:nvPicPr>
        <xdr:cNvPr id="2229" name="Picture 2" descr="WATER-PROPERTIES">
          <a:extLst>
            <a:ext uri="{FF2B5EF4-FFF2-40B4-BE49-F238E27FC236}">
              <a16:creationId xmlns:a16="http://schemas.microsoft.com/office/drawing/2014/main" id="{2206A345-AA79-AEFD-03DD-8E6445772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0471725"/>
          <a:ext cx="5753100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111</xdr:row>
      <xdr:rowOff>152400</xdr:rowOff>
    </xdr:from>
    <xdr:to>
      <xdr:col>5</xdr:col>
      <xdr:colOff>323850</xdr:colOff>
      <xdr:row>125</xdr:row>
      <xdr:rowOff>85725</xdr:rowOff>
    </xdr:to>
    <xdr:pic>
      <xdr:nvPicPr>
        <xdr:cNvPr id="2230" name="Picture 3" descr="FINS-RECTANGULAR">
          <a:extLst>
            <a:ext uri="{FF2B5EF4-FFF2-40B4-BE49-F238E27FC236}">
              <a16:creationId xmlns:a16="http://schemas.microsoft.com/office/drawing/2014/main" id="{99ED79B1-F3B8-0476-1DCD-CDA52D8C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21936075"/>
          <a:ext cx="2800350" cy="261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790575</xdr:colOff>
      <xdr:row>222</xdr:row>
      <xdr:rowOff>9525</xdr:rowOff>
    </xdr:from>
    <xdr:to>
      <xdr:col>4</xdr:col>
      <xdr:colOff>161925</xdr:colOff>
      <xdr:row>239</xdr:row>
      <xdr:rowOff>104775</xdr:rowOff>
    </xdr:to>
    <xdr:pic>
      <xdr:nvPicPr>
        <xdr:cNvPr id="2231" name="Picture 7" descr="HEAT-EXCHANGERS-2">
          <a:extLst>
            <a:ext uri="{FF2B5EF4-FFF2-40B4-BE49-F238E27FC236}">
              <a16:creationId xmlns:a16="http://schemas.microsoft.com/office/drawing/2014/main" id="{62AB2AB1-BC44-5BA4-E0AA-8C7922CEA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3538775"/>
          <a:ext cx="4524375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1628775</xdr:colOff>
      <xdr:row>3</xdr:row>
      <xdr:rowOff>47625</xdr:rowOff>
    </xdr:from>
    <xdr:to>
      <xdr:col>4</xdr:col>
      <xdr:colOff>85725</xdr:colOff>
      <xdr:row>11</xdr:row>
      <xdr:rowOff>76200</xdr:rowOff>
    </xdr:to>
    <xdr:pic>
      <xdr:nvPicPr>
        <xdr:cNvPr id="2232" name="Picture 8" descr="CONVECTION-1">
          <a:extLst>
            <a:ext uri="{FF2B5EF4-FFF2-40B4-BE49-F238E27FC236}">
              <a16:creationId xmlns:a16="http://schemas.microsoft.com/office/drawing/2014/main" id="{A3C871D1-D9BD-71A9-F2BE-49AD84D10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666750"/>
          <a:ext cx="3609975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53</xdr:row>
      <xdr:rowOff>142875</xdr:rowOff>
    </xdr:from>
    <xdr:to>
      <xdr:col>5</xdr:col>
      <xdr:colOff>209550</xdr:colOff>
      <xdr:row>65</xdr:row>
      <xdr:rowOff>152400</xdr:rowOff>
    </xdr:to>
    <xdr:pic>
      <xdr:nvPicPr>
        <xdr:cNvPr id="4167" name="Picture 1" descr="RADIATION-SPHERE">
          <a:extLst>
            <a:ext uri="{FF2B5EF4-FFF2-40B4-BE49-F238E27FC236}">
              <a16:creationId xmlns:a16="http://schemas.microsoft.com/office/drawing/2014/main" id="{7227FB13-06ED-F32C-38E1-DCE341987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10487025"/>
          <a:ext cx="2676525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1019175</xdr:colOff>
      <xdr:row>26</xdr:row>
      <xdr:rowOff>28575</xdr:rowOff>
    </xdr:from>
    <xdr:to>
      <xdr:col>4</xdr:col>
      <xdr:colOff>533400</xdr:colOff>
      <xdr:row>35</xdr:row>
      <xdr:rowOff>114300</xdr:rowOff>
    </xdr:to>
    <xdr:pic>
      <xdr:nvPicPr>
        <xdr:cNvPr id="4168" name="Picture 2" descr="RADIATION-1">
          <a:extLst>
            <a:ext uri="{FF2B5EF4-FFF2-40B4-BE49-F238E27FC236}">
              <a16:creationId xmlns:a16="http://schemas.microsoft.com/office/drawing/2014/main" id="{DB6F3F35-326A-8657-EE65-622E25D6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5133975"/>
          <a:ext cx="409575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19051</xdr:colOff>
      <xdr:row>10</xdr:row>
      <xdr:rowOff>57150</xdr:rowOff>
    </xdr:from>
    <xdr:to>
      <xdr:col>10</xdr:col>
      <xdr:colOff>1328351</xdr:colOff>
      <xdr:row>22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4672ACD-C13D-447F-8319-6E1340DB2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6" y="2066925"/>
          <a:ext cx="2528500" cy="280035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23</xdr:row>
      <xdr:rowOff>66675</xdr:rowOff>
    </xdr:from>
    <xdr:to>
      <xdr:col>2</xdr:col>
      <xdr:colOff>847725</xdr:colOff>
      <xdr:row>29</xdr:row>
      <xdr:rowOff>66675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6F9751-207E-45FD-B76D-660979DEF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4657725"/>
          <a:ext cx="2124075" cy="13716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</xdr:row>
      <xdr:rowOff>38100</xdr:rowOff>
    </xdr:from>
    <xdr:to>
      <xdr:col>7</xdr:col>
      <xdr:colOff>523463</xdr:colOff>
      <xdr:row>24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8B8D36-31CF-42C7-AA94-AA9CE4080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4275" y="2047875"/>
          <a:ext cx="2237963" cy="32099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3</xdr:row>
      <xdr:rowOff>95251</xdr:rowOff>
    </xdr:from>
    <xdr:to>
      <xdr:col>6</xdr:col>
      <xdr:colOff>57150</xdr:colOff>
      <xdr:row>7</xdr:row>
      <xdr:rowOff>33847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2D5AE09-01B8-42EC-BA2F-2BA844B61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704851"/>
          <a:ext cx="1266825" cy="852996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714375</xdr:colOff>
      <xdr:row>31</xdr:row>
      <xdr:rowOff>9525</xdr:rowOff>
    </xdr:from>
    <xdr:to>
      <xdr:col>16</xdr:col>
      <xdr:colOff>110338</xdr:colOff>
      <xdr:row>49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BC181F-DB03-4416-8656-BC7AD87DF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6153150"/>
          <a:ext cx="4368013" cy="4105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2</xdr:col>
      <xdr:colOff>314325</xdr:colOff>
      <xdr:row>53</xdr:row>
      <xdr:rowOff>19050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0B970E6-857F-4A90-902C-60378AF4D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9401175"/>
          <a:ext cx="2009775" cy="139065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7</xdr:col>
      <xdr:colOff>142875</xdr:colOff>
      <xdr:row>53</xdr:row>
      <xdr:rowOff>47625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EBA8A82-426F-499E-AE8E-970C5C176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9401175"/>
          <a:ext cx="2466975" cy="141922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57</xdr:row>
      <xdr:rowOff>104775</xdr:rowOff>
    </xdr:from>
    <xdr:to>
      <xdr:col>8</xdr:col>
      <xdr:colOff>38100</xdr:colOff>
      <xdr:row>59</xdr:row>
      <xdr:rowOff>180975</xdr:rowOff>
    </xdr:to>
    <xdr:pic>
      <xdr:nvPicPr>
        <xdr:cNvPr id="12" name="Picture 59" descr="LINEAR-EXPANSION-B">
          <a:extLst>
            <a:ext uri="{FF2B5EF4-FFF2-40B4-BE49-F238E27FC236}">
              <a16:creationId xmlns:a16="http://schemas.microsoft.com/office/drawing/2014/main" id="{350DF32E-4457-4E69-B368-D7BA23E2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6164400"/>
          <a:ext cx="25717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1"/>
  <sheetViews>
    <sheetView tabSelected="1" zoomScaleNormal="100" workbookViewId="0">
      <selection activeCell="H1" sqref="H1"/>
    </sheetView>
  </sheetViews>
  <sheetFormatPr defaultRowHeight="15" x14ac:dyDescent="0.2"/>
  <cols>
    <col min="1" max="1" width="46" style="7" customWidth="1"/>
    <col min="2" max="2" width="16.140625" style="1" customWidth="1"/>
    <col min="3" max="3" width="12.5703125" style="1" customWidth="1"/>
    <col min="4" max="4" width="16.7109375" style="1" customWidth="1"/>
    <col min="5" max="5" width="11.7109375" style="1" customWidth="1"/>
    <col min="6" max="6" width="9.140625" style="1"/>
    <col min="7" max="7" width="9.5703125" style="7" customWidth="1"/>
    <col min="8" max="8" width="13.5703125" style="1" customWidth="1"/>
    <col min="9" max="9" width="11.7109375" style="1" customWidth="1"/>
    <col min="10" max="11" width="9.140625" style="1"/>
    <col min="12" max="12" width="11.7109375" style="1" customWidth="1"/>
    <col min="13" max="13" width="9.140625" style="1"/>
    <col min="14" max="14" width="8.28515625" style="1" customWidth="1"/>
    <col min="15" max="16384" width="9.140625" style="1"/>
  </cols>
  <sheetData>
    <row r="1" spans="1:12" ht="20.25" x14ac:dyDescent="0.3">
      <c r="A1" s="71" t="s">
        <v>737</v>
      </c>
      <c r="G1" s="3"/>
      <c r="H1" s="4"/>
      <c r="I1" s="4"/>
      <c r="J1" s="4"/>
      <c r="K1" s="4"/>
      <c r="L1" s="4"/>
    </row>
    <row r="2" spans="1:12" ht="18" x14ac:dyDescent="0.25">
      <c r="A2" s="70" t="s">
        <v>686</v>
      </c>
      <c r="G2" s="6"/>
      <c r="H2" s="4"/>
      <c r="I2" s="4"/>
      <c r="J2" s="4"/>
      <c r="K2" s="4"/>
      <c r="L2" s="4"/>
    </row>
    <row r="3" spans="1:12" x14ac:dyDescent="0.2">
      <c r="G3" s="3"/>
      <c r="H3" s="4"/>
      <c r="I3" s="4"/>
      <c r="J3" s="4"/>
      <c r="K3" s="4"/>
      <c r="L3" s="4"/>
    </row>
    <row r="4" spans="1:12" ht="15.75" x14ac:dyDescent="0.25">
      <c r="A4" s="2" t="s">
        <v>267</v>
      </c>
      <c r="G4" s="3"/>
      <c r="H4" s="4"/>
      <c r="I4" s="4"/>
      <c r="J4" s="4"/>
      <c r="K4" s="4"/>
      <c r="L4" s="4"/>
    </row>
    <row r="5" spans="1:12" ht="15.75" x14ac:dyDescent="0.25">
      <c r="A5" s="5" t="s">
        <v>732</v>
      </c>
      <c r="G5" s="3"/>
      <c r="H5" s="4"/>
      <c r="I5" s="4"/>
      <c r="J5" s="4"/>
      <c r="K5" s="4"/>
      <c r="L5" s="4"/>
    </row>
    <row r="6" spans="1:12" ht="15.75" x14ac:dyDescent="0.25">
      <c r="A6" s="5" t="s">
        <v>733</v>
      </c>
      <c r="G6" s="3"/>
      <c r="H6" s="4"/>
      <c r="I6" s="4"/>
      <c r="J6" s="4"/>
      <c r="K6" s="4"/>
      <c r="L6" s="4"/>
    </row>
    <row r="7" spans="1:12" ht="15.75" x14ac:dyDescent="0.25">
      <c r="A7" s="5" t="s">
        <v>734</v>
      </c>
      <c r="G7" s="3"/>
      <c r="H7" s="4"/>
      <c r="I7" s="4"/>
      <c r="J7" s="4"/>
      <c r="K7" s="4"/>
      <c r="L7" s="4"/>
    </row>
    <row r="8" spans="1:12" ht="15.75" x14ac:dyDescent="0.25">
      <c r="A8" s="5"/>
      <c r="F8" s="8" t="s">
        <v>608</v>
      </c>
      <c r="G8" s="8"/>
      <c r="H8" s="8"/>
      <c r="I8" s="9"/>
      <c r="J8" s="4"/>
      <c r="K8" s="4"/>
      <c r="L8" s="4"/>
    </row>
    <row r="9" spans="1:12" x14ac:dyDescent="0.2">
      <c r="A9" s="5" t="s">
        <v>592</v>
      </c>
      <c r="F9" s="9" t="s">
        <v>609</v>
      </c>
      <c r="G9" s="9"/>
      <c r="H9" s="9"/>
      <c r="I9" s="9"/>
      <c r="J9" s="4"/>
      <c r="K9" s="4"/>
      <c r="L9" s="4"/>
    </row>
    <row r="10" spans="1:12" x14ac:dyDescent="0.2">
      <c r="A10" s="5"/>
      <c r="F10" s="9"/>
      <c r="G10" s="9"/>
      <c r="H10" s="9"/>
      <c r="I10" s="9"/>
      <c r="J10" s="4"/>
      <c r="K10" s="4"/>
      <c r="L10" s="4"/>
    </row>
    <row r="11" spans="1:12" x14ac:dyDescent="0.2">
      <c r="A11" s="5" t="s">
        <v>418</v>
      </c>
      <c r="F11" s="9"/>
      <c r="G11" s="9"/>
      <c r="H11" s="9"/>
      <c r="I11" s="9"/>
      <c r="J11" s="4"/>
      <c r="K11" s="4"/>
      <c r="L11" s="4"/>
    </row>
    <row r="12" spans="1:12" x14ac:dyDescent="0.2">
      <c r="F12" s="9"/>
      <c r="G12" s="9"/>
      <c r="H12" s="9"/>
      <c r="I12" s="9"/>
      <c r="J12" s="4"/>
      <c r="K12" s="4"/>
      <c r="L12" s="4"/>
    </row>
    <row r="13" spans="1:12" x14ac:dyDescent="0.2">
      <c r="F13" s="9"/>
      <c r="G13" s="9"/>
      <c r="H13" s="9"/>
      <c r="I13" s="9"/>
      <c r="J13" s="4"/>
      <c r="K13" s="4"/>
      <c r="L13" s="4"/>
    </row>
    <row r="14" spans="1:12" ht="15.75" x14ac:dyDescent="0.25">
      <c r="A14" s="100" t="s">
        <v>236</v>
      </c>
      <c r="F14" s="9"/>
      <c r="G14" s="9"/>
      <c r="H14" s="9"/>
      <c r="I14" s="9"/>
      <c r="J14" s="4"/>
      <c r="K14" s="4"/>
      <c r="L14" s="4"/>
    </row>
    <row r="15" spans="1:12" ht="15.75" x14ac:dyDescent="0.25">
      <c r="A15" s="101" t="s">
        <v>234</v>
      </c>
      <c r="F15" s="9"/>
      <c r="G15" s="9"/>
      <c r="H15" s="9"/>
      <c r="I15" s="9"/>
      <c r="J15" s="4"/>
      <c r="K15" s="4"/>
      <c r="L15" s="4"/>
    </row>
    <row r="16" spans="1:12" ht="15.75" x14ac:dyDescent="0.25">
      <c r="A16" s="100" t="s">
        <v>235</v>
      </c>
      <c r="G16" s="1"/>
    </row>
    <row r="17" spans="1:21" ht="15.75" x14ac:dyDescent="0.25">
      <c r="A17" s="98" t="s">
        <v>620</v>
      </c>
      <c r="G17" s="1"/>
    </row>
    <row r="18" spans="1:21" ht="15.75" x14ac:dyDescent="0.25">
      <c r="A18" s="98" t="s">
        <v>621</v>
      </c>
      <c r="G18" s="1"/>
    </row>
    <row r="19" spans="1:21" x14ac:dyDescent="0.2">
      <c r="G19" s="1"/>
    </row>
    <row r="20" spans="1:21" x14ac:dyDescent="0.2">
      <c r="G20" s="1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x14ac:dyDescent="0.2">
      <c r="A21" s="98" t="s">
        <v>487</v>
      </c>
      <c r="B21" s="99"/>
      <c r="C21" s="99"/>
      <c r="D21" s="99"/>
      <c r="G21" s="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ht="15.75" x14ac:dyDescent="0.25">
      <c r="A22" s="100" t="s">
        <v>483</v>
      </c>
      <c r="B22" s="99"/>
      <c r="C22" s="99"/>
      <c r="D22" s="99"/>
      <c r="G22" s="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x14ac:dyDescent="0.2">
      <c r="A23" s="99" t="s">
        <v>484</v>
      </c>
      <c r="B23" s="99"/>
      <c r="C23" s="99"/>
      <c r="D23" s="99"/>
      <c r="G23" s="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5.75" x14ac:dyDescent="0.25">
      <c r="A24" s="100" t="s">
        <v>485</v>
      </c>
      <c r="B24" s="99"/>
      <c r="C24" s="99"/>
      <c r="D24" s="99"/>
      <c r="G24" s="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x14ac:dyDescent="0.2">
      <c r="G25" s="3"/>
      <c r="H25" s="4"/>
      <c r="I25" s="4"/>
      <c r="J25" s="4" t="s">
        <v>19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x14ac:dyDescent="0.2">
      <c r="G26" s="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ht="15.75" x14ac:dyDescent="0.25">
      <c r="A27" s="11" t="s">
        <v>520</v>
      </c>
      <c r="B27" s="12" t="s">
        <v>233</v>
      </c>
      <c r="C27" s="12" t="s">
        <v>79</v>
      </c>
      <c r="D27" s="12" t="s">
        <v>233</v>
      </c>
      <c r="G27" s="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 x14ac:dyDescent="0.25">
      <c r="A28" s="11"/>
      <c r="C28" s="12" t="s">
        <v>80</v>
      </c>
      <c r="D28" s="12" t="s">
        <v>316</v>
      </c>
      <c r="G28" s="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15.75" x14ac:dyDescent="0.25">
      <c r="A29" s="11" t="s">
        <v>521</v>
      </c>
      <c r="B29" s="13" t="s">
        <v>84</v>
      </c>
      <c r="C29" s="13">
        <v>0.29310000000000003</v>
      </c>
      <c r="D29" s="13" t="s">
        <v>85</v>
      </c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5.75" x14ac:dyDescent="0.25">
      <c r="A30" s="11" t="s">
        <v>521</v>
      </c>
      <c r="B30" s="13" t="s">
        <v>84</v>
      </c>
      <c r="C30" s="14">
        <v>3.9290000000000001E-4</v>
      </c>
      <c r="D30" s="13" t="s">
        <v>86</v>
      </c>
      <c r="E30" s="12"/>
      <c r="F30" s="12"/>
      <c r="G30" s="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ht="15.75" x14ac:dyDescent="0.25">
      <c r="A31" s="15" t="s">
        <v>529</v>
      </c>
      <c r="B31" s="13" t="s">
        <v>88</v>
      </c>
      <c r="C31" s="13">
        <v>778.2</v>
      </c>
      <c r="D31" s="13" t="s">
        <v>87</v>
      </c>
      <c r="E31" s="12"/>
      <c r="F31" s="12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ht="15.75" x14ac:dyDescent="0.25">
      <c r="A32" s="15" t="s">
        <v>297</v>
      </c>
      <c r="B32" s="13" t="s">
        <v>82</v>
      </c>
      <c r="C32" s="16">
        <v>1.73</v>
      </c>
      <c r="D32" s="13" t="s">
        <v>323</v>
      </c>
      <c r="E32" s="13"/>
      <c r="F32" s="13"/>
      <c r="G32" s="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5.75" x14ac:dyDescent="0.25">
      <c r="A33" s="15" t="s">
        <v>524</v>
      </c>
      <c r="B33" s="13" t="s">
        <v>247</v>
      </c>
      <c r="C33" s="13">
        <v>5.5956000000000001</v>
      </c>
      <c r="D33" s="1" t="s">
        <v>281</v>
      </c>
      <c r="E33" s="13"/>
      <c r="F33" s="13"/>
      <c r="G33" s="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5.75" x14ac:dyDescent="0.25">
      <c r="A34" s="15" t="s">
        <v>295</v>
      </c>
      <c r="B34" s="13" t="s">
        <v>81</v>
      </c>
      <c r="C34" s="13">
        <v>16.0185</v>
      </c>
      <c r="D34" s="13" t="s">
        <v>64</v>
      </c>
      <c r="E34" s="13"/>
      <c r="F34" s="13"/>
      <c r="G34" s="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5.75" x14ac:dyDescent="0.25">
      <c r="A35" s="15" t="s">
        <v>526</v>
      </c>
      <c r="B35" s="13" t="s">
        <v>83</v>
      </c>
      <c r="C35" s="13">
        <v>4187</v>
      </c>
      <c r="D35" s="13" t="s">
        <v>246</v>
      </c>
      <c r="E35" s="13"/>
      <c r="F35" s="13"/>
      <c r="G35" s="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ht="15.75" x14ac:dyDescent="0.25">
      <c r="A36" s="15" t="s">
        <v>527</v>
      </c>
      <c r="B36" s="13" t="s">
        <v>327</v>
      </c>
      <c r="C36" s="13">
        <v>3600</v>
      </c>
      <c r="D36" s="13" t="s">
        <v>324</v>
      </c>
      <c r="E36" s="13"/>
      <c r="F36" s="13"/>
      <c r="G36" s="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ht="15.75" x14ac:dyDescent="0.25">
      <c r="A37" s="15" t="s">
        <v>525</v>
      </c>
      <c r="B37" s="13" t="s">
        <v>327</v>
      </c>
      <c r="C37" s="13">
        <v>1.488</v>
      </c>
      <c r="D37" s="13" t="s">
        <v>325</v>
      </c>
      <c r="E37" s="13"/>
      <c r="F37" s="13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15.75" x14ac:dyDescent="0.25">
      <c r="A38" s="15" t="s">
        <v>522</v>
      </c>
      <c r="B38" s="13" t="s">
        <v>89</v>
      </c>
      <c r="C38" s="13">
        <v>0.30480000000000002</v>
      </c>
      <c r="D38" s="13" t="s">
        <v>58</v>
      </c>
      <c r="E38" s="13"/>
      <c r="F38" s="13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5.75" x14ac:dyDescent="0.25">
      <c r="A39" s="15" t="s">
        <v>522</v>
      </c>
      <c r="B39" s="13" t="s">
        <v>90</v>
      </c>
      <c r="C39" s="13">
        <v>25.4</v>
      </c>
      <c r="D39" s="13" t="s">
        <v>27</v>
      </c>
      <c r="E39" s="13"/>
      <c r="F39" s="13"/>
      <c r="G39" s="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5.75" x14ac:dyDescent="0.25">
      <c r="A40" s="15" t="s">
        <v>522</v>
      </c>
      <c r="B40" s="13" t="s">
        <v>90</v>
      </c>
      <c r="C40" s="13">
        <v>2.5399999999999999E-2</v>
      </c>
      <c r="D40" s="13" t="s">
        <v>58</v>
      </c>
      <c r="E40" s="13"/>
      <c r="F40" s="13"/>
      <c r="G40" s="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5.75" x14ac:dyDescent="0.25">
      <c r="A41" s="15" t="s">
        <v>523</v>
      </c>
      <c r="B41" s="13" t="s">
        <v>91</v>
      </c>
      <c r="C41" s="13">
        <v>4.4481999999999999</v>
      </c>
      <c r="D41" s="13" t="s">
        <v>92</v>
      </c>
      <c r="E41" s="13"/>
      <c r="F41" s="13"/>
      <c r="G41" s="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5.75" x14ac:dyDescent="0.25">
      <c r="A42" s="15" t="s">
        <v>529</v>
      </c>
      <c r="B42" s="13" t="s">
        <v>87</v>
      </c>
      <c r="C42" s="13">
        <v>1.3557999999999999</v>
      </c>
      <c r="D42" s="13" t="s">
        <v>93</v>
      </c>
      <c r="E42" s="17"/>
      <c r="F42" s="13"/>
      <c r="G42" s="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5.75" x14ac:dyDescent="0.25">
      <c r="A43" s="15" t="s">
        <v>528</v>
      </c>
      <c r="B43" s="13" t="s">
        <v>328</v>
      </c>
      <c r="C43" s="13">
        <v>9.2899999999999996E-2</v>
      </c>
      <c r="D43" s="13" t="s">
        <v>326</v>
      </c>
      <c r="E43" s="17"/>
      <c r="F43" s="13"/>
      <c r="G43" s="3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x14ac:dyDescent="0.2">
      <c r="E44" s="13"/>
      <c r="F44" s="13"/>
      <c r="G44" s="3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x14ac:dyDescent="0.2">
      <c r="A45" s="1" t="s">
        <v>568</v>
      </c>
      <c r="E45" s="13"/>
      <c r="F45" s="13"/>
      <c r="G45" s="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5.75" x14ac:dyDescent="0.25">
      <c r="A46" s="18" t="s">
        <v>318</v>
      </c>
      <c r="E46" s="19"/>
      <c r="F46" s="13"/>
      <c r="G46" s="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6.5" thickBot="1" x14ac:dyDescent="0.3">
      <c r="B47" s="20" t="s">
        <v>38</v>
      </c>
      <c r="E47" s="13"/>
      <c r="F47" s="13"/>
      <c r="G47" s="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.75" x14ac:dyDescent="0.25">
      <c r="A48" s="15" t="s">
        <v>313</v>
      </c>
      <c r="B48" s="21">
        <v>42</v>
      </c>
      <c r="G48" s="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6.5" thickBot="1" x14ac:dyDescent="0.3">
      <c r="A49" s="15" t="s">
        <v>314</v>
      </c>
      <c r="B49" s="22">
        <v>2.5399999999999999E-2</v>
      </c>
      <c r="G49" s="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5.75" x14ac:dyDescent="0.25">
      <c r="B50" s="20" t="s">
        <v>687</v>
      </c>
      <c r="G50" s="3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5.75" x14ac:dyDescent="0.25">
      <c r="A51" s="15" t="s">
        <v>315</v>
      </c>
      <c r="B51" s="23">
        <f>B48*B49</f>
        <v>1.0668</v>
      </c>
      <c r="F51" s="12"/>
      <c r="G51" s="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5.75" x14ac:dyDescent="0.25">
      <c r="G52" s="2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5.75" x14ac:dyDescent="0.25">
      <c r="A53" s="18" t="s">
        <v>319</v>
      </c>
      <c r="G53" s="3"/>
      <c r="H53" s="2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6.5" thickBot="1" x14ac:dyDescent="0.3">
      <c r="B54" s="20" t="s">
        <v>38</v>
      </c>
      <c r="G54" s="3"/>
      <c r="H54" s="26"/>
      <c r="I54" s="27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5.75" x14ac:dyDescent="0.25">
      <c r="A55" s="15" t="s">
        <v>315</v>
      </c>
      <c r="B55" s="21">
        <v>22</v>
      </c>
      <c r="G55" s="3"/>
      <c r="H55" s="28"/>
      <c r="I55" s="27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6.5" thickBot="1" x14ac:dyDescent="0.3">
      <c r="A56" s="15" t="s">
        <v>317</v>
      </c>
      <c r="B56" s="29">
        <v>5.5956000000000001</v>
      </c>
      <c r="G56" s="3"/>
      <c r="H56" s="28"/>
      <c r="I56" s="27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5.75" x14ac:dyDescent="0.25">
      <c r="B57" s="20" t="s">
        <v>687</v>
      </c>
      <c r="G57" s="3"/>
      <c r="H57" s="26"/>
      <c r="I57" s="27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5.75" x14ac:dyDescent="0.25">
      <c r="A58" s="15" t="s">
        <v>313</v>
      </c>
      <c r="B58" s="23">
        <f>B55/B56</f>
        <v>3.9316605904639359</v>
      </c>
      <c r="G58" s="3"/>
      <c r="H58" s="26"/>
      <c r="I58" s="27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5.75" x14ac:dyDescent="0.25">
      <c r="G59" s="3"/>
      <c r="H59" s="25"/>
      <c r="I59" s="27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6.5" thickBot="1" x14ac:dyDescent="0.3">
      <c r="A60" s="15" t="s">
        <v>242</v>
      </c>
      <c r="B60" s="20" t="s">
        <v>38</v>
      </c>
      <c r="D60" s="15"/>
      <c r="E60" s="20" t="s">
        <v>38</v>
      </c>
      <c r="G60" s="24"/>
      <c r="H60" s="30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6.5" thickBot="1" x14ac:dyDescent="0.3">
      <c r="A61" s="7" t="s">
        <v>291</v>
      </c>
      <c r="B61" s="31">
        <v>52</v>
      </c>
      <c r="C61" s="13" t="s">
        <v>8</v>
      </c>
      <c r="D61" s="7" t="s">
        <v>291</v>
      </c>
      <c r="E61" s="31">
        <v>50</v>
      </c>
      <c r="F61" s="13" t="s">
        <v>10</v>
      </c>
      <c r="G61" s="24"/>
      <c r="H61" s="32"/>
      <c r="I61" s="30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5.75" x14ac:dyDescent="0.25">
      <c r="A62" s="7" t="s">
        <v>291</v>
      </c>
      <c r="B62" s="12" t="s">
        <v>96</v>
      </c>
      <c r="C62" s="13"/>
      <c r="D62" s="7" t="s">
        <v>291</v>
      </c>
      <c r="E62" s="2" t="s">
        <v>591</v>
      </c>
      <c r="F62" s="13"/>
      <c r="G62" s="24"/>
      <c r="H62" s="30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5.75" x14ac:dyDescent="0.25">
      <c r="A63" s="7" t="s">
        <v>291</v>
      </c>
      <c r="B63" s="12">
        <f>B61+273.2</f>
        <v>325.2</v>
      </c>
      <c r="C63" s="12" t="s">
        <v>177</v>
      </c>
      <c r="D63" s="7" t="s">
        <v>291</v>
      </c>
      <c r="E63" s="12">
        <f>E61+460</f>
        <v>510</v>
      </c>
      <c r="F63" s="12" t="s">
        <v>189</v>
      </c>
      <c r="G63" s="24"/>
      <c r="H63" s="30"/>
      <c r="I63" s="30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2">
      <c r="G64" s="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6.5" thickBot="1" x14ac:dyDescent="0.3">
      <c r="B65" s="20" t="s">
        <v>38</v>
      </c>
      <c r="E65" s="20" t="s">
        <v>38</v>
      </c>
      <c r="G65" s="3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thickBot="1" x14ac:dyDescent="0.25">
      <c r="A66" s="7" t="s">
        <v>291</v>
      </c>
      <c r="B66" s="31">
        <v>62</v>
      </c>
      <c r="C66" s="13" t="s">
        <v>10</v>
      </c>
      <c r="D66" s="7" t="s">
        <v>291</v>
      </c>
      <c r="E66" s="31">
        <v>60</v>
      </c>
      <c r="F66" s="13" t="s">
        <v>8</v>
      </c>
      <c r="G66" s="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5.75" x14ac:dyDescent="0.25">
      <c r="A67" s="7" t="s">
        <v>291</v>
      </c>
      <c r="B67" s="12" t="s">
        <v>94</v>
      </c>
      <c r="C67" s="12"/>
      <c r="D67" s="7" t="s">
        <v>291</v>
      </c>
      <c r="E67" s="2" t="s">
        <v>95</v>
      </c>
      <c r="F67" s="33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5.75" x14ac:dyDescent="0.25">
      <c r="A68" s="7" t="s">
        <v>291</v>
      </c>
      <c r="B68" s="34">
        <f>5*(B66-32)/9</f>
        <v>16.666666666666668</v>
      </c>
      <c r="C68" s="12" t="s">
        <v>8</v>
      </c>
      <c r="D68" s="7" t="s">
        <v>291</v>
      </c>
      <c r="E68" s="12">
        <f>(9*E66/5)+32</f>
        <v>140</v>
      </c>
      <c r="F68" s="12" t="s">
        <v>10</v>
      </c>
      <c r="G68" s="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x14ac:dyDescent="0.2">
      <c r="G69" s="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x14ac:dyDescent="0.2">
      <c r="G70" s="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x14ac:dyDescent="0.2">
      <c r="G71" s="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x14ac:dyDescent="0.2"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x14ac:dyDescent="0.2">
      <c r="G73" s="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x14ac:dyDescent="0.2">
      <c r="G74" s="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x14ac:dyDescent="0.2">
      <c r="G75" s="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x14ac:dyDescent="0.2">
      <c r="G76" s="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x14ac:dyDescent="0.2">
      <c r="G77" s="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x14ac:dyDescent="0.2">
      <c r="G78" s="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5.75" x14ac:dyDescent="0.25">
      <c r="G79" s="24"/>
      <c r="H79" s="3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x14ac:dyDescent="0.2">
      <c r="G80" s="3"/>
      <c r="H80" s="27"/>
      <c r="I80" s="27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x14ac:dyDescent="0.2">
      <c r="G81" s="3"/>
      <c r="H81" s="27"/>
      <c r="I81" s="27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x14ac:dyDescent="0.2">
      <c r="G82" s="3"/>
      <c r="H82" s="27"/>
      <c r="I82" s="27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5.75" x14ac:dyDescent="0.25">
      <c r="A83" s="2" t="s">
        <v>268</v>
      </c>
      <c r="G83" s="3"/>
      <c r="H83" s="27"/>
      <c r="I83" s="27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6.5" thickBot="1" x14ac:dyDescent="0.3">
      <c r="A84" s="5"/>
      <c r="B84" s="20" t="s">
        <v>38</v>
      </c>
      <c r="G84" s="3"/>
      <c r="H84" s="27"/>
      <c r="I84" s="27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x14ac:dyDescent="0.2">
      <c r="A85" s="7" t="s">
        <v>479</v>
      </c>
      <c r="B85" s="21">
        <v>12</v>
      </c>
      <c r="C85" s="13" t="s">
        <v>26</v>
      </c>
      <c r="E85" s="1" t="s">
        <v>19</v>
      </c>
      <c r="G85" s="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x14ac:dyDescent="0.2">
      <c r="A86" s="7" t="s">
        <v>272</v>
      </c>
      <c r="B86" s="36">
        <v>100</v>
      </c>
      <c r="C86" s="13" t="s">
        <v>8</v>
      </c>
      <c r="G86" s="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x14ac:dyDescent="0.2">
      <c r="A87" s="7" t="s">
        <v>269</v>
      </c>
      <c r="B87" s="36">
        <v>111</v>
      </c>
      <c r="C87" s="13" t="s">
        <v>270</v>
      </c>
      <c r="G87" s="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x14ac:dyDescent="0.2">
      <c r="A88" s="7" t="s">
        <v>475</v>
      </c>
      <c r="B88" s="37">
        <v>4</v>
      </c>
      <c r="C88" s="13" t="s">
        <v>90</v>
      </c>
      <c r="G88" s="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2">
      <c r="A89" s="7" t="s">
        <v>476</v>
      </c>
      <c r="B89" s="37">
        <v>4</v>
      </c>
      <c r="C89" s="13" t="s">
        <v>90</v>
      </c>
      <c r="G89" s="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5.75" thickBot="1" x14ac:dyDescent="0.25">
      <c r="A90" s="7" t="s">
        <v>474</v>
      </c>
      <c r="B90" s="22">
        <v>0.375</v>
      </c>
      <c r="C90" s="13" t="s">
        <v>90</v>
      </c>
      <c r="G90" s="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5.75" x14ac:dyDescent="0.25">
      <c r="B91" s="20" t="s">
        <v>687</v>
      </c>
      <c r="C91" s="13"/>
      <c r="G91" s="24"/>
      <c r="H91" s="30"/>
      <c r="I91" s="27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5.75" x14ac:dyDescent="0.25">
      <c r="A92" s="15" t="s">
        <v>271</v>
      </c>
      <c r="B92" s="2" t="s">
        <v>478</v>
      </c>
      <c r="G92" s="3"/>
      <c r="H92" s="28"/>
      <c r="I92" s="27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5.75" x14ac:dyDescent="0.25">
      <c r="A93" s="15" t="s">
        <v>278</v>
      </c>
      <c r="B93" s="38">
        <f>B88*B89*0.0254^2</f>
        <v>1.032256E-2</v>
      </c>
      <c r="C93" s="12" t="s">
        <v>157</v>
      </c>
      <c r="G93" s="3"/>
      <c r="H93" s="27"/>
      <c r="I93" s="27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5.75" x14ac:dyDescent="0.25">
      <c r="A94" s="15" t="s">
        <v>275</v>
      </c>
      <c r="B94" s="2" t="s">
        <v>477</v>
      </c>
      <c r="G94" s="3"/>
      <c r="H94" s="27"/>
      <c r="I94" s="27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5.75" x14ac:dyDescent="0.25">
      <c r="A95" s="15" t="s">
        <v>273</v>
      </c>
      <c r="B95" s="33" t="s">
        <v>473</v>
      </c>
      <c r="G95" s="3"/>
      <c r="H95" s="27"/>
      <c r="I95" s="27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5.75" x14ac:dyDescent="0.25">
      <c r="A96" s="15" t="s">
        <v>369</v>
      </c>
      <c r="B96" s="34">
        <f>B86-((B85*(B90*0.0254))/(B87*B93))</f>
        <v>99.900244732921905</v>
      </c>
      <c r="C96" s="12" t="s">
        <v>8</v>
      </c>
      <c r="G96" s="3"/>
      <c r="H96" s="27"/>
      <c r="I96" s="27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x14ac:dyDescent="0.2">
      <c r="G97" s="3"/>
      <c r="H97" s="27"/>
      <c r="I97" s="27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x14ac:dyDescent="0.2">
      <c r="G98" s="3"/>
      <c r="H98" s="27"/>
      <c r="I98" s="27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pans="1:21" x14ac:dyDescent="0.2">
      <c r="G99" s="3"/>
      <c r="H99" s="27"/>
      <c r="I99" s="27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pans="1:21" x14ac:dyDescent="0.2">
      <c r="G100" s="3"/>
      <c r="H100" s="27"/>
      <c r="I100" s="27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pans="1:21" x14ac:dyDescent="0.2">
      <c r="G101" s="3"/>
      <c r="H101" s="27"/>
      <c r="I101" s="27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pans="1:21" ht="15.75" x14ac:dyDescent="0.25">
      <c r="F102" s="12"/>
      <c r="G102" s="3"/>
      <c r="H102" s="39"/>
      <c r="I102" s="27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pans="1:21" ht="15.75" x14ac:dyDescent="0.25">
      <c r="A103" s="2" t="s">
        <v>306</v>
      </c>
      <c r="G103" s="3"/>
      <c r="H103" s="39"/>
      <c r="I103" s="27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pans="1:21" ht="15.75" x14ac:dyDescent="0.25">
      <c r="B104" s="33" t="s">
        <v>294</v>
      </c>
      <c r="G104" s="3"/>
      <c r="H104" s="27"/>
      <c r="I104" s="27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pans="1:21" ht="15.75" x14ac:dyDescent="0.25">
      <c r="A105" s="15" t="s">
        <v>293</v>
      </c>
      <c r="B105" s="12" t="s">
        <v>295</v>
      </c>
      <c r="C105" s="12" t="s">
        <v>297</v>
      </c>
      <c r="D105" s="12" t="s">
        <v>297</v>
      </c>
      <c r="G105" s="3"/>
      <c r="H105" s="27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</row>
    <row r="106" spans="1:21" ht="15.75" x14ac:dyDescent="0.25">
      <c r="A106" s="15"/>
      <c r="B106" s="12" t="s">
        <v>296</v>
      </c>
      <c r="C106" s="12" t="s">
        <v>298</v>
      </c>
      <c r="D106" s="12" t="s">
        <v>29</v>
      </c>
      <c r="G106" s="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pans="1:21" ht="15.75" x14ac:dyDescent="0.25">
      <c r="A107" s="15" t="s">
        <v>301</v>
      </c>
      <c r="B107" s="12">
        <v>559</v>
      </c>
      <c r="C107" s="12">
        <v>223</v>
      </c>
      <c r="D107" s="12">
        <v>386</v>
      </c>
      <c r="E107" s="13"/>
      <c r="G107" s="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pans="1:21" ht="15.75" x14ac:dyDescent="0.25">
      <c r="A108" s="15" t="s">
        <v>302</v>
      </c>
      <c r="B108" s="12">
        <v>532</v>
      </c>
      <c r="C108" s="12">
        <v>64</v>
      </c>
      <c r="D108" s="12">
        <v>111</v>
      </c>
      <c r="E108" s="13"/>
      <c r="G108" s="3"/>
      <c r="H108" s="40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  <row r="109" spans="1:21" ht="15.75" x14ac:dyDescent="0.25">
      <c r="A109" s="15" t="s">
        <v>303</v>
      </c>
      <c r="B109" s="12">
        <v>657</v>
      </c>
      <c r="C109" s="12">
        <v>235</v>
      </c>
      <c r="D109" s="12">
        <v>407</v>
      </c>
      <c r="E109" s="13"/>
      <c r="G109" s="3"/>
      <c r="H109" s="27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</row>
    <row r="110" spans="1:21" ht="15.75" x14ac:dyDescent="0.25">
      <c r="A110" s="15" t="s">
        <v>300</v>
      </c>
      <c r="B110" s="12">
        <v>174</v>
      </c>
      <c r="C110" s="12">
        <v>95</v>
      </c>
      <c r="D110" s="12">
        <v>164</v>
      </c>
      <c r="E110" s="13"/>
      <c r="G110" s="3"/>
      <c r="H110" s="40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</row>
    <row r="111" spans="1:21" ht="15.75" x14ac:dyDescent="0.25">
      <c r="A111" s="15" t="s">
        <v>299</v>
      </c>
      <c r="B111" s="12">
        <v>487</v>
      </c>
      <c r="C111" s="12">
        <v>25</v>
      </c>
      <c r="D111" s="12">
        <v>43</v>
      </c>
      <c r="E111" s="13"/>
      <c r="G111" s="3"/>
      <c r="H111" s="27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</row>
    <row r="112" spans="1:21" ht="15.75" x14ac:dyDescent="0.25">
      <c r="A112" s="15" t="s">
        <v>304</v>
      </c>
      <c r="B112" s="12">
        <v>541</v>
      </c>
      <c r="C112" s="12">
        <v>15</v>
      </c>
      <c r="D112" s="12">
        <v>26</v>
      </c>
      <c r="E112" s="13"/>
      <c r="G112" s="3"/>
      <c r="H112" s="27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</row>
    <row r="113" spans="1:21" ht="15.75" x14ac:dyDescent="0.25">
      <c r="A113" s="15" t="s">
        <v>480</v>
      </c>
      <c r="B113" s="12">
        <v>488</v>
      </c>
      <c r="C113" s="12">
        <v>9.4</v>
      </c>
      <c r="D113" s="12">
        <v>16.3</v>
      </c>
      <c r="E113" s="13"/>
      <c r="G113" s="3"/>
      <c r="H113" s="27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</row>
    <row r="114" spans="1:21" ht="15.75" x14ac:dyDescent="0.25">
      <c r="A114" s="15" t="s">
        <v>308</v>
      </c>
      <c r="B114" s="12"/>
      <c r="C114" s="12">
        <v>0.79</v>
      </c>
      <c r="D114" s="12">
        <v>1.37</v>
      </c>
      <c r="E114" s="13"/>
      <c r="G114" s="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</row>
    <row r="115" spans="1:21" ht="15.75" x14ac:dyDescent="0.25">
      <c r="A115" s="15" t="s">
        <v>311</v>
      </c>
      <c r="B115" s="33"/>
      <c r="C115" s="12">
        <v>0.45</v>
      </c>
      <c r="D115" s="12">
        <v>0.78</v>
      </c>
      <c r="E115" s="13"/>
      <c r="G115" s="3"/>
      <c r="H115" s="27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</row>
    <row r="116" spans="1:21" ht="15.75" x14ac:dyDescent="0.25">
      <c r="A116" s="15" t="s">
        <v>307</v>
      </c>
      <c r="B116" s="12"/>
      <c r="C116" s="34">
        <v>0.4</v>
      </c>
      <c r="D116" s="12">
        <v>0.69</v>
      </c>
      <c r="E116" s="13"/>
      <c r="G116" s="24"/>
      <c r="H116" s="41"/>
      <c r="I116" s="3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</row>
    <row r="117" spans="1:21" ht="15.75" x14ac:dyDescent="0.25">
      <c r="A117" s="15" t="s">
        <v>309</v>
      </c>
      <c r="B117" s="33"/>
      <c r="C117" s="12">
        <v>6.3E-2</v>
      </c>
      <c r="D117" s="12">
        <v>0.109</v>
      </c>
      <c r="E117" s="13"/>
      <c r="G117" s="3"/>
      <c r="H117" s="27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ht="15.75" x14ac:dyDescent="0.25">
      <c r="A118" s="15" t="s">
        <v>310</v>
      </c>
      <c r="B118" s="33"/>
      <c r="C118" s="12">
        <v>6.5000000000000002E-2</v>
      </c>
      <c r="D118" s="12">
        <v>0.112</v>
      </c>
      <c r="E118" s="13"/>
      <c r="G118" s="24"/>
      <c r="H118" s="41"/>
      <c r="I118" s="3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ht="15.75" x14ac:dyDescent="0.25">
      <c r="A119" s="15" t="s">
        <v>312</v>
      </c>
      <c r="B119" s="33"/>
      <c r="C119" s="12">
        <v>2.1999999999999999E-2</v>
      </c>
      <c r="D119" s="12">
        <v>3.7999999999999999E-2</v>
      </c>
      <c r="E119" s="13"/>
      <c r="G119" s="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</row>
    <row r="120" spans="1:21" x14ac:dyDescent="0.2">
      <c r="G120" s="3" t="s">
        <v>19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</row>
    <row r="121" spans="1:21" ht="15.75" x14ac:dyDescent="0.25">
      <c r="A121" s="2" t="s">
        <v>414</v>
      </c>
      <c r="G121" s="3"/>
      <c r="H121" s="4"/>
      <c r="I121" s="4"/>
      <c r="J121" s="27"/>
      <c r="K121" s="27"/>
      <c r="L121" s="4"/>
      <c r="M121" s="4"/>
      <c r="N121" s="4"/>
      <c r="O121" s="4"/>
      <c r="P121" s="4"/>
      <c r="Q121" s="4"/>
      <c r="R121" s="4"/>
      <c r="S121" s="4"/>
      <c r="T121" s="4"/>
      <c r="U121" s="4"/>
    </row>
    <row r="122" spans="1:21" x14ac:dyDescent="0.2">
      <c r="A122" s="5" t="s">
        <v>356</v>
      </c>
      <c r="G122" s="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</row>
    <row r="123" spans="1:21" ht="15.75" x14ac:dyDescent="0.25">
      <c r="A123" s="5" t="s">
        <v>360</v>
      </c>
      <c r="F123" s="12"/>
      <c r="G123" s="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ht="15.75" x14ac:dyDescent="0.25">
      <c r="A124" s="2" t="s">
        <v>322</v>
      </c>
      <c r="G124" s="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2">
      <c r="G125" s="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</row>
    <row r="126" spans="1:21" x14ac:dyDescent="0.2">
      <c r="G126" s="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  <row r="127" spans="1:21" x14ac:dyDescent="0.2">
      <c r="G127" s="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</row>
    <row r="128" spans="1:21" x14ac:dyDescent="0.2">
      <c r="G128" s="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</row>
    <row r="129" spans="1:21" x14ac:dyDescent="0.2">
      <c r="G129" s="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</row>
    <row r="130" spans="1:21" x14ac:dyDescent="0.2">
      <c r="G130" s="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</row>
    <row r="131" spans="1:21" x14ac:dyDescent="0.2">
      <c r="G131" s="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</row>
    <row r="132" spans="1:21" x14ac:dyDescent="0.2">
      <c r="G132" s="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</row>
    <row r="133" spans="1:21" x14ac:dyDescent="0.2">
      <c r="G133" s="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</row>
    <row r="134" spans="1:21" x14ac:dyDescent="0.2">
      <c r="G134" s="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</row>
    <row r="135" spans="1:21" x14ac:dyDescent="0.2">
      <c r="G135" s="42"/>
      <c r="H135" s="27"/>
      <c r="I135" s="28"/>
      <c r="J135" s="27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</row>
    <row r="136" spans="1:21" x14ac:dyDescent="0.2">
      <c r="G136" s="42"/>
      <c r="H136" s="27"/>
      <c r="I136" s="28"/>
      <c r="J136" s="27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</row>
    <row r="137" spans="1:21" x14ac:dyDescent="0.2">
      <c r="G137" s="42"/>
      <c r="H137" s="27"/>
      <c r="I137" s="28"/>
      <c r="J137" s="27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</row>
    <row r="138" spans="1:21" x14ac:dyDescent="0.2">
      <c r="G138" s="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</row>
    <row r="139" spans="1:21" x14ac:dyDescent="0.2">
      <c r="G139" s="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</row>
    <row r="140" spans="1:21" x14ac:dyDescent="0.2">
      <c r="G140" s="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</row>
    <row r="141" spans="1:21" x14ac:dyDescent="0.2">
      <c r="G141" s="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</row>
    <row r="142" spans="1:21" ht="15.75" x14ac:dyDescent="0.25">
      <c r="A142" s="2" t="s">
        <v>329</v>
      </c>
      <c r="G142" s="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</row>
    <row r="143" spans="1:21" x14ac:dyDescent="0.2">
      <c r="G143" s="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</row>
    <row r="144" spans="1:21" x14ac:dyDescent="0.2">
      <c r="G144" s="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</row>
    <row r="145" spans="1:21" x14ac:dyDescent="0.2">
      <c r="G145" s="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</row>
    <row r="146" spans="1:21" x14ac:dyDescent="0.2">
      <c r="G146" s="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</row>
    <row r="147" spans="1:21" x14ac:dyDescent="0.2">
      <c r="G147" s="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</row>
    <row r="148" spans="1:21" x14ac:dyDescent="0.2">
      <c r="G148" s="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</row>
    <row r="149" spans="1:21" ht="15.75" x14ac:dyDescent="0.25">
      <c r="A149" s="2" t="s">
        <v>548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</row>
    <row r="150" spans="1:21" ht="15.75" x14ac:dyDescent="0.25">
      <c r="A150" s="15" t="s">
        <v>330</v>
      </c>
      <c r="B150" s="33" t="s">
        <v>368</v>
      </c>
      <c r="D150" s="10" t="s">
        <v>352</v>
      </c>
    </row>
    <row r="151" spans="1:21" ht="15.75" x14ac:dyDescent="0.25">
      <c r="A151" s="15"/>
      <c r="B151" s="33"/>
    </row>
    <row r="152" spans="1:21" ht="15.75" x14ac:dyDescent="0.25">
      <c r="A152" s="15" t="s">
        <v>331</v>
      </c>
      <c r="B152" s="12" t="s">
        <v>371</v>
      </c>
    </row>
    <row r="153" spans="1:21" ht="15.75" x14ac:dyDescent="0.25">
      <c r="A153" s="15"/>
      <c r="B153" s="33"/>
      <c r="F153" s="12"/>
    </row>
    <row r="154" spans="1:21" ht="15.75" x14ac:dyDescent="0.25">
      <c r="A154" s="15" t="s">
        <v>547</v>
      </c>
      <c r="B154" s="12" t="s">
        <v>332</v>
      </c>
    </row>
    <row r="156" spans="1:21" ht="15.75" x14ac:dyDescent="0.25">
      <c r="A156" s="15" t="s">
        <v>545</v>
      </c>
      <c r="B156" s="12" t="s">
        <v>546</v>
      </c>
    </row>
    <row r="157" spans="1:21" x14ac:dyDescent="0.2">
      <c r="B157" s="13"/>
    </row>
    <row r="158" spans="1:21" ht="15.75" x14ac:dyDescent="0.25">
      <c r="A158" s="15" t="s">
        <v>348</v>
      </c>
      <c r="B158" s="33" t="s">
        <v>372</v>
      </c>
      <c r="C158" s="33"/>
    </row>
    <row r="159" spans="1:21" ht="15.75" x14ac:dyDescent="0.25">
      <c r="A159" s="15"/>
      <c r="B159" s="33"/>
      <c r="C159" s="33"/>
    </row>
    <row r="160" spans="1:21" ht="15.75" x14ac:dyDescent="0.25">
      <c r="A160" s="15" t="s">
        <v>550</v>
      </c>
      <c r="B160" s="12" t="s">
        <v>364</v>
      </c>
      <c r="C160" s="33"/>
    </row>
    <row r="161" spans="1:20" ht="15.75" x14ac:dyDescent="0.25">
      <c r="A161" s="15"/>
      <c r="B161" s="12"/>
      <c r="C161" s="33"/>
    </row>
    <row r="162" spans="1:20" ht="15.75" x14ac:dyDescent="0.25">
      <c r="A162" s="15" t="s">
        <v>549</v>
      </c>
      <c r="B162" s="12" t="s">
        <v>346</v>
      </c>
    </row>
    <row r="164" spans="1:20" ht="15.75" x14ac:dyDescent="0.25">
      <c r="A164" s="15" t="s">
        <v>330</v>
      </c>
      <c r="B164" s="12" t="s">
        <v>344</v>
      </c>
      <c r="C164" s="33"/>
    </row>
    <row r="165" spans="1:20" ht="15.75" x14ac:dyDescent="0.25">
      <c r="G165" s="2"/>
      <c r="H165" s="20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x14ac:dyDescent="0.2">
      <c r="H166" s="43"/>
      <c r="I166" s="13"/>
      <c r="K166" s="4"/>
      <c r="L166" s="4"/>
      <c r="M166" s="3"/>
      <c r="N166" s="26"/>
      <c r="O166" s="27"/>
      <c r="P166" s="4"/>
      <c r="Q166" s="4"/>
      <c r="R166" s="4"/>
      <c r="S166" s="4"/>
      <c r="T166" s="4"/>
    </row>
    <row r="167" spans="1:20" ht="16.5" thickBot="1" x14ac:dyDescent="0.3">
      <c r="A167" s="2" t="s">
        <v>555</v>
      </c>
      <c r="B167" s="20" t="s">
        <v>38</v>
      </c>
      <c r="G167" s="2" t="s">
        <v>519</v>
      </c>
      <c r="H167" s="20" t="s">
        <v>38</v>
      </c>
      <c r="K167" s="4"/>
      <c r="L167" s="4"/>
      <c r="M167" s="3"/>
      <c r="N167" s="26"/>
      <c r="O167" s="27"/>
      <c r="P167" s="4"/>
      <c r="Q167" s="4"/>
      <c r="R167" s="4"/>
      <c r="S167" s="4"/>
      <c r="T167" s="4"/>
    </row>
    <row r="168" spans="1:20" x14ac:dyDescent="0.2">
      <c r="A168" s="7" t="s">
        <v>517</v>
      </c>
      <c r="B168" s="45">
        <v>300</v>
      </c>
      <c r="C168" s="13" t="s">
        <v>90</v>
      </c>
      <c r="E168" s="7"/>
      <c r="F168" s="44"/>
      <c r="G168" s="7" t="s">
        <v>517</v>
      </c>
      <c r="H168" s="45">
        <v>300</v>
      </c>
      <c r="I168" s="13" t="s">
        <v>90</v>
      </c>
      <c r="K168" s="4"/>
      <c r="L168" s="4"/>
      <c r="M168" s="3"/>
      <c r="N168" s="26"/>
      <c r="O168" s="27"/>
      <c r="P168" s="4"/>
      <c r="Q168" s="4"/>
      <c r="R168" s="4"/>
      <c r="S168" s="4"/>
      <c r="T168" s="4"/>
    </row>
    <row r="169" spans="1:20" x14ac:dyDescent="0.2">
      <c r="A169" s="7" t="s">
        <v>518</v>
      </c>
      <c r="B169" s="37">
        <v>48</v>
      </c>
      <c r="C169" s="13" t="s">
        <v>90</v>
      </c>
      <c r="E169" s="7"/>
      <c r="F169" s="44"/>
      <c r="G169" s="7" t="s">
        <v>518</v>
      </c>
      <c r="H169" s="37">
        <v>48</v>
      </c>
      <c r="I169" s="13" t="s">
        <v>90</v>
      </c>
      <c r="K169" s="4"/>
      <c r="L169" s="4"/>
      <c r="M169" s="3"/>
      <c r="N169" s="26"/>
      <c r="O169" s="4"/>
      <c r="P169" s="4"/>
      <c r="Q169" s="4"/>
      <c r="R169" s="4"/>
      <c r="S169" s="4"/>
      <c r="T169" s="4"/>
    </row>
    <row r="170" spans="1:20" x14ac:dyDescent="0.2">
      <c r="A170" s="7" t="s">
        <v>359</v>
      </c>
      <c r="B170" s="37">
        <v>7</v>
      </c>
      <c r="C170" s="13" t="s">
        <v>90</v>
      </c>
      <c r="E170" s="7"/>
      <c r="F170" s="44"/>
      <c r="G170" s="7" t="s">
        <v>359</v>
      </c>
      <c r="H170" s="37">
        <v>6</v>
      </c>
      <c r="I170" s="13" t="s">
        <v>90</v>
      </c>
      <c r="K170" s="4"/>
      <c r="L170" s="4"/>
      <c r="M170" s="3"/>
      <c r="N170" s="26"/>
      <c r="O170" s="27"/>
      <c r="P170" s="4"/>
      <c r="Q170" s="4"/>
      <c r="R170" s="4"/>
      <c r="S170" s="4"/>
      <c r="T170" s="4"/>
    </row>
    <row r="171" spans="1:20" x14ac:dyDescent="0.2">
      <c r="A171" s="7" t="s">
        <v>543</v>
      </c>
      <c r="B171" s="36">
        <v>2</v>
      </c>
      <c r="C171" s="5" t="s">
        <v>247</v>
      </c>
      <c r="E171" s="7"/>
      <c r="F171" s="44"/>
      <c r="G171" s="7" t="s">
        <v>543</v>
      </c>
      <c r="H171" s="36">
        <v>9.3800000000000008</v>
      </c>
      <c r="I171" s="5" t="s">
        <v>247</v>
      </c>
      <c r="K171" s="4"/>
      <c r="L171" s="4"/>
      <c r="M171" s="3"/>
      <c r="N171" s="26"/>
      <c r="O171" s="27"/>
      <c r="P171" s="4"/>
      <c r="Q171" s="4"/>
      <c r="R171" s="4"/>
      <c r="S171" s="4"/>
      <c r="T171" s="4"/>
    </row>
    <row r="172" spans="1:20" x14ac:dyDescent="0.2">
      <c r="A172" s="7" t="s">
        <v>552</v>
      </c>
      <c r="B172" s="46">
        <v>70</v>
      </c>
      <c r="C172" s="13" t="s">
        <v>10</v>
      </c>
      <c r="E172" s="7"/>
      <c r="F172" s="44"/>
      <c r="G172" s="7" t="s">
        <v>552</v>
      </c>
      <c r="H172" s="46">
        <v>22.2</v>
      </c>
      <c r="I172" s="13" t="s">
        <v>10</v>
      </c>
      <c r="K172" s="4"/>
      <c r="L172" s="4"/>
      <c r="M172" s="3"/>
      <c r="N172" s="26"/>
      <c r="O172" s="27"/>
      <c r="P172" s="4"/>
      <c r="Q172" s="4"/>
      <c r="R172" s="4"/>
      <c r="S172" s="4"/>
      <c r="T172" s="4"/>
    </row>
    <row r="173" spans="1:20" x14ac:dyDescent="0.2">
      <c r="A173" s="7" t="s">
        <v>553</v>
      </c>
      <c r="B173" s="46">
        <v>36</v>
      </c>
      <c r="C173" s="13" t="s">
        <v>10</v>
      </c>
      <c r="E173" s="7"/>
      <c r="F173" s="44"/>
      <c r="G173" s="7" t="s">
        <v>553</v>
      </c>
      <c r="H173" s="46">
        <v>-1</v>
      </c>
      <c r="I173" s="13" t="s">
        <v>10</v>
      </c>
      <c r="K173" s="4"/>
      <c r="L173" s="4"/>
      <c r="M173" s="3"/>
      <c r="N173" s="26"/>
      <c r="O173" s="27"/>
      <c r="P173" s="4"/>
      <c r="Q173" s="4"/>
      <c r="R173" s="4"/>
      <c r="S173" s="4"/>
      <c r="T173" s="4"/>
    </row>
    <row r="174" spans="1:20" x14ac:dyDescent="0.2">
      <c r="A174" s="7" t="s">
        <v>567</v>
      </c>
      <c r="B174" s="37">
        <v>1</v>
      </c>
      <c r="C174" s="13" t="s">
        <v>90</v>
      </c>
      <c r="E174" s="7"/>
      <c r="F174" s="44"/>
      <c r="G174" s="7" t="s">
        <v>335</v>
      </c>
      <c r="H174" s="37">
        <v>1</v>
      </c>
      <c r="I174" s="13" t="s">
        <v>90</v>
      </c>
      <c r="K174" s="4"/>
      <c r="L174" s="4"/>
      <c r="M174" s="3"/>
      <c r="N174" s="26"/>
      <c r="O174" s="27"/>
      <c r="P174" s="4"/>
      <c r="Q174" s="4"/>
      <c r="R174" s="4"/>
      <c r="S174" s="4"/>
      <c r="T174" s="4"/>
    </row>
    <row r="175" spans="1:20" x14ac:dyDescent="0.2">
      <c r="A175" s="7" t="s">
        <v>337</v>
      </c>
      <c r="B175" s="37">
        <v>4</v>
      </c>
      <c r="C175" s="13" t="s">
        <v>90</v>
      </c>
      <c r="E175" s="7"/>
      <c r="F175" s="44"/>
      <c r="G175" s="7" t="s">
        <v>337</v>
      </c>
      <c r="H175" s="37">
        <v>0.66</v>
      </c>
      <c r="I175" s="13" t="s">
        <v>90</v>
      </c>
      <c r="K175" s="4"/>
      <c r="L175" s="4"/>
      <c r="M175" s="3"/>
      <c r="N175" s="26"/>
      <c r="O175" s="27"/>
      <c r="P175" s="4"/>
      <c r="Q175" s="4"/>
      <c r="R175" s="4"/>
      <c r="S175" s="4"/>
      <c r="T175" s="4"/>
    </row>
    <row r="176" spans="1:20" x14ac:dyDescent="0.2">
      <c r="A176" s="7" t="s">
        <v>338</v>
      </c>
      <c r="B176" s="37">
        <v>0.75</v>
      </c>
      <c r="C176" s="13" t="s">
        <v>90</v>
      </c>
      <c r="E176" s="7"/>
      <c r="F176" s="44"/>
      <c r="G176" s="7" t="s">
        <v>338</v>
      </c>
      <c r="H176" s="37">
        <v>0.5</v>
      </c>
      <c r="I176" s="13" t="s">
        <v>90</v>
      </c>
      <c r="K176" s="4"/>
      <c r="L176" s="4"/>
      <c r="M176" s="3"/>
      <c r="N176" s="26"/>
      <c r="O176" s="27"/>
      <c r="P176" s="4"/>
      <c r="Q176" s="4"/>
      <c r="R176" s="4"/>
      <c r="S176" s="4"/>
      <c r="T176" s="4"/>
    </row>
    <row r="177" spans="1:20" x14ac:dyDescent="0.2">
      <c r="A177" s="7" t="s">
        <v>564</v>
      </c>
      <c r="B177" s="47">
        <v>6.5000000000000002E-2</v>
      </c>
      <c r="C177" s="13" t="s">
        <v>298</v>
      </c>
      <c r="E177" s="7"/>
      <c r="F177" s="44"/>
      <c r="G177" s="7" t="s">
        <v>341</v>
      </c>
      <c r="H177" s="37">
        <v>0.1</v>
      </c>
      <c r="I177" s="13" t="s">
        <v>298</v>
      </c>
      <c r="K177" s="4"/>
      <c r="L177" s="4"/>
      <c r="M177" s="3"/>
      <c r="N177" s="26"/>
      <c r="O177" s="27"/>
      <c r="P177" s="4"/>
      <c r="Q177" s="4"/>
      <c r="R177" s="4"/>
      <c r="S177" s="4"/>
      <c r="T177" s="4"/>
    </row>
    <row r="178" spans="1:20" x14ac:dyDescent="0.2">
      <c r="A178" s="7" t="s">
        <v>565</v>
      </c>
      <c r="B178" s="47">
        <v>0.4</v>
      </c>
      <c r="C178" s="13" t="s">
        <v>298</v>
      </c>
      <c r="E178" s="7"/>
      <c r="F178" s="44"/>
      <c r="G178" s="7" t="s">
        <v>342</v>
      </c>
      <c r="H178" s="37">
        <v>0.1</v>
      </c>
      <c r="I178" s="13" t="s">
        <v>298</v>
      </c>
      <c r="K178" s="4"/>
      <c r="L178" s="4"/>
      <c r="M178" s="3"/>
      <c r="N178" s="26"/>
      <c r="O178" s="4"/>
      <c r="P178" s="4"/>
      <c r="Q178" s="4"/>
      <c r="R178" s="4"/>
      <c r="S178" s="4"/>
      <c r="T178" s="4"/>
    </row>
    <row r="179" spans="1:20" x14ac:dyDescent="0.2">
      <c r="A179" s="7" t="s">
        <v>566</v>
      </c>
      <c r="B179" s="47">
        <v>0.28000000000000003</v>
      </c>
      <c r="C179" s="13" t="s">
        <v>298</v>
      </c>
      <c r="E179" s="7"/>
      <c r="F179" s="44"/>
      <c r="G179" s="7" t="s">
        <v>343</v>
      </c>
      <c r="H179" s="37">
        <v>0.52</v>
      </c>
      <c r="I179" s="13" t="s">
        <v>298</v>
      </c>
      <c r="K179" s="4"/>
      <c r="L179" s="4"/>
      <c r="M179" s="27"/>
      <c r="N179" s="4"/>
      <c r="O179" s="4"/>
      <c r="P179" s="4"/>
      <c r="Q179" s="4"/>
      <c r="R179" s="4"/>
      <c r="S179" s="4"/>
      <c r="T179" s="4"/>
    </row>
    <row r="180" spans="1:20" ht="15.75" thickBot="1" x14ac:dyDescent="0.25">
      <c r="A180" s="7" t="s">
        <v>544</v>
      </c>
      <c r="B180" s="48">
        <v>5.8</v>
      </c>
      <c r="C180" s="5" t="s">
        <v>247</v>
      </c>
      <c r="E180" s="7"/>
      <c r="F180" s="44"/>
      <c r="G180" s="7" t="s">
        <v>544</v>
      </c>
      <c r="H180" s="48">
        <v>34.1</v>
      </c>
      <c r="I180" s="5" t="s">
        <v>247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x14ac:dyDescent="0.2">
      <c r="B181" s="49"/>
      <c r="C181" s="13"/>
      <c r="H181" s="49"/>
      <c r="I181" s="13"/>
      <c r="K181" s="4"/>
      <c r="L181" s="4"/>
      <c r="M181" s="153"/>
      <c r="N181" s="4"/>
      <c r="O181" s="4"/>
      <c r="P181" s="4"/>
      <c r="Q181" s="4"/>
      <c r="R181" s="4"/>
      <c r="S181" s="4"/>
      <c r="T181" s="4"/>
    </row>
    <row r="182" spans="1:20" ht="15.75" x14ac:dyDescent="0.25">
      <c r="B182" s="20" t="s">
        <v>687</v>
      </c>
      <c r="H182" s="20" t="s">
        <v>687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ht="15.75" x14ac:dyDescent="0.25">
      <c r="A183" s="15" t="s">
        <v>361</v>
      </c>
      <c r="B183" s="12" t="s">
        <v>530</v>
      </c>
      <c r="C183" s="33"/>
      <c r="G183" s="15" t="s">
        <v>361</v>
      </c>
      <c r="H183" s="2" t="s">
        <v>562</v>
      </c>
      <c r="I183" s="33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15.75" x14ac:dyDescent="0.25">
      <c r="A184" s="15" t="s">
        <v>16</v>
      </c>
      <c r="B184" s="50">
        <f>B168*B169/144</f>
        <v>100</v>
      </c>
      <c r="C184" s="12" t="s">
        <v>357</v>
      </c>
      <c r="G184" s="15" t="s">
        <v>16</v>
      </c>
      <c r="H184" s="50">
        <f>H168*H169*0.0929/144</f>
        <v>9.2899999999999991</v>
      </c>
      <c r="I184" s="12" t="s">
        <v>157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15.75" x14ac:dyDescent="0.25">
      <c r="A185" s="15" t="s">
        <v>541</v>
      </c>
      <c r="G185" s="15" t="s">
        <v>563</v>
      </c>
      <c r="H185" s="1" t="s">
        <v>19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15.75" x14ac:dyDescent="0.25">
      <c r="A186" s="15" t="s">
        <v>535</v>
      </c>
      <c r="B186" s="12" t="s">
        <v>536</v>
      </c>
      <c r="C186" s="2"/>
      <c r="G186" s="15" t="s">
        <v>535</v>
      </c>
      <c r="H186" s="12" t="s">
        <v>536</v>
      </c>
      <c r="I186" s="2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15.75" x14ac:dyDescent="0.25">
      <c r="A187" s="15" t="s">
        <v>535</v>
      </c>
      <c r="B187" s="23">
        <f>1/B171</f>
        <v>0.5</v>
      </c>
      <c r="G187" s="15" t="s">
        <v>535</v>
      </c>
      <c r="H187" s="23">
        <f>1/H171</f>
        <v>0.10660980810234541</v>
      </c>
      <c r="K187" s="27"/>
      <c r="L187" s="72"/>
      <c r="M187" s="4"/>
      <c r="N187" s="4"/>
      <c r="O187" s="4"/>
      <c r="P187" s="4"/>
      <c r="Q187" s="4"/>
      <c r="R187" s="4"/>
      <c r="S187" s="4"/>
      <c r="T187" s="4"/>
    </row>
    <row r="188" spans="1:20" ht="15.75" x14ac:dyDescent="0.25">
      <c r="A188" s="15" t="s">
        <v>336</v>
      </c>
      <c r="B188" s="12" t="s">
        <v>332</v>
      </c>
      <c r="D188" s="7"/>
      <c r="E188" s="13"/>
      <c r="F188" s="5"/>
      <c r="G188" s="15" t="s">
        <v>336</v>
      </c>
      <c r="H188" s="12" t="s">
        <v>332</v>
      </c>
      <c r="J188" s="7"/>
      <c r="K188" s="28"/>
      <c r="L188" s="72"/>
      <c r="M188" s="4"/>
      <c r="N188" s="4"/>
      <c r="O188" s="4"/>
      <c r="P188" s="4"/>
      <c r="Q188" s="4"/>
      <c r="R188" s="4"/>
      <c r="S188" s="4"/>
      <c r="T188" s="4"/>
    </row>
    <row r="189" spans="1:20" ht="15.75" x14ac:dyDescent="0.25">
      <c r="A189" s="15" t="s">
        <v>534</v>
      </c>
      <c r="B189" s="51">
        <f>B174/(12*B177)</f>
        <v>1.2820512820512819</v>
      </c>
      <c r="C189" s="1" t="s">
        <v>19</v>
      </c>
      <c r="D189" s="7"/>
      <c r="E189" s="43"/>
      <c r="F189" s="5"/>
      <c r="G189" s="15" t="s">
        <v>534</v>
      </c>
      <c r="H189" s="51">
        <f>0.3048*H174/(12*H177)</f>
        <v>0.25399999999999995</v>
      </c>
      <c r="I189" s="1" t="s">
        <v>19</v>
      </c>
      <c r="J189" s="7"/>
      <c r="K189" s="4"/>
      <c r="L189" s="58"/>
      <c r="M189" s="4"/>
      <c r="N189" s="4"/>
      <c r="O189" s="4"/>
      <c r="P189" s="4"/>
      <c r="Q189" s="4"/>
      <c r="R189" s="4"/>
      <c r="S189" s="4"/>
      <c r="T189" s="4"/>
    </row>
    <row r="190" spans="1:20" ht="15.75" x14ac:dyDescent="0.25">
      <c r="A190" s="15" t="s">
        <v>339</v>
      </c>
      <c r="B190" s="51" t="s">
        <v>333</v>
      </c>
      <c r="F190" s="2"/>
      <c r="G190" s="15" t="s">
        <v>339</v>
      </c>
      <c r="H190" s="51" t="s">
        <v>333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15.75" x14ac:dyDescent="0.25">
      <c r="A191" s="15" t="s">
        <v>533</v>
      </c>
      <c r="B191" s="51">
        <f>B175/(12*B178)</f>
        <v>0.83333333333333326</v>
      </c>
      <c r="G191" s="15" t="s">
        <v>533</v>
      </c>
      <c r="H191" s="51">
        <f>0.3048*H175/(12*H178)</f>
        <v>0.16763999999999998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ht="15.75" x14ac:dyDescent="0.25">
      <c r="A192" s="15" t="s">
        <v>340</v>
      </c>
      <c r="B192" s="51" t="s">
        <v>334</v>
      </c>
      <c r="G192" s="15" t="s">
        <v>340</v>
      </c>
      <c r="H192" s="51" t="s">
        <v>334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5.75" x14ac:dyDescent="0.25">
      <c r="A193" s="15" t="s">
        <v>347</v>
      </c>
      <c r="B193" s="51">
        <f>B176/(12*B179)</f>
        <v>0.2232142857142857</v>
      </c>
      <c r="G193" s="15" t="s">
        <v>347</v>
      </c>
      <c r="H193" s="51">
        <f>0.3048*H176/(12*H179)</f>
        <v>2.4423076923076922E-2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5.75" x14ac:dyDescent="0.25">
      <c r="A194" s="15" t="s">
        <v>537</v>
      </c>
      <c r="B194" s="12" t="s">
        <v>538</v>
      </c>
      <c r="C194" s="33"/>
      <c r="G194" s="15" t="s">
        <v>537</v>
      </c>
      <c r="H194" s="12" t="s">
        <v>538</v>
      </c>
      <c r="I194" s="33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15.75" x14ac:dyDescent="0.25">
      <c r="A195" s="15" t="s">
        <v>537</v>
      </c>
      <c r="B195" s="23">
        <f>1/B180</f>
        <v>0.17241379310344829</v>
      </c>
      <c r="C195" s="33"/>
      <c r="G195" s="15" t="s">
        <v>537</v>
      </c>
      <c r="H195" s="23">
        <f>1/H180</f>
        <v>2.9325513196480937E-2</v>
      </c>
      <c r="I195" s="33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5.75" x14ac:dyDescent="0.25">
      <c r="A196" s="15" t="s">
        <v>542</v>
      </c>
      <c r="G196" s="15" t="s">
        <v>542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15.75" x14ac:dyDescent="0.25">
      <c r="A197" s="15" t="s">
        <v>532</v>
      </c>
      <c r="B197" s="33" t="s">
        <v>540</v>
      </c>
      <c r="G197" s="15" t="s">
        <v>532</v>
      </c>
      <c r="H197" s="33" t="s">
        <v>540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5.75" x14ac:dyDescent="0.25">
      <c r="A198" s="15" t="s">
        <v>532</v>
      </c>
      <c r="B198" s="2" t="s">
        <v>539</v>
      </c>
      <c r="G198" s="15" t="s">
        <v>532</v>
      </c>
      <c r="H198" s="2" t="s">
        <v>539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ht="15.75" x14ac:dyDescent="0.25">
      <c r="A199" s="15" t="s">
        <v>532</v>
      </c>
      <c r="B199" s="51">
        <f>B187+B189+B191+B193+B195</f>
        <v>3.011012694202349</v>
      </c>
      <c r="G199" s="15" t="s">
        <v>532</v>
      </c>
      <c r="H199" s="51">
        <f>H187+H189+H191+H193+H195</f>
        <v>0.58199839822190313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15.75" x14ac:dyDescent="0.25">
      <c r="A200" s="15" t="s">
        <v>351</v>
      </c>
      <c r="B200" s="23">
        <f>1/B199</f>
        <v>0.33211417604631227</v>
      </c>
      <c r="G200" s="15" t="s">
        <v>351</v>
      </c>
      <c r="H200" s="23">
        <f>1/H199</f>
        <v>1.7182177872914388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5.75" x14ac:dyDescent="0.25">
      <c r="A201" s="15" t="s">
        <v>345</v>
      </c>
      <c r="B201" s="12" t="s">
        <v>551</v>
      </c>
      <c r="G201" s="15" t="s">
        <v>345</v>
      </c>
      <c r="H201" s="12" t="s">
        <v>551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15.75" x14ac:dyDescent="0.25">
      <c r="A202" s="15" t="s">
        <v>350</v>
      </c>
      <c r="B202" s="12">
        <f>B172-B173</f>
        <v>34</v>
      </c>
      <c r="C202" s="12" t="s">
        <v>10</v>
      </c>
      <c r="G202" s="15" t="s">
        <v>350</v>
      </c>
      <c r="H202" s="52">
        <f>H172-H173</f>
        <v>23.2</v>
      </c>
      <c r="I202" s="12" t="s">
        <v>8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5.75" x14ac:dyDescent="0.25">
      <c r="A203" s="15" t="s">
        <v>330</v>
      </c>
      <c r="B203" s="12" t="s">
        <v>344</v>
      </c>
      <c r="G203" s="15" t="s">
        <v>330</v>
      </c>
      <c r="H203" s="12" t="s">
        <v>344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t="15.75" x14ac:dyDescent="0.25">
      <c r="A204" s="15" t="s">
        <v>225</v>
      </c>
      <c r="B204" s="34">
        <f>B200*B202</f>
        <v>11.291881985574618</v>
      </c>
      <c r="F204" s="12"/>
      <c r="G204" s="15" t="s">
        <v>225</v>
      </c>
      <c r="H204" s="34">
        <f>H200*H202</f>
        <v>39.862652665161377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ht="15.75" x14ac:dyDescent="0.25">
      <c r="A205" s="15" t="s">
        <v>275</v>
      </c>
      <c r="B205" s="12" t="s">
        <v>554</v>
      </c>
      <c r="G205" s="15" t="s">
        <v>275</v>
      </c>
      <c r="H205" s="12" t="s">
        <v>554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15.75" x14ac:dyDescent="0.25">
      <c r="A206" s="15" t="s">
        <v>156</v>
      </c>
      <c r="B206" s="53">
        <f>B200*B184*B202</f>
        <v>1129.1881985574619</v>
      </c>
      <c r="C206" s="12" t="s">
        <v>84</v>
      </c>
      <c r="G206" s="15" t="s">
        <v>156</v>
      </c>
      <c r="H206" s="53">
        <f>H200*H184*H202</f>
        <v>370.3240432593492</v>
      </c>
      <c r="I206" s="12" t="s">
        <v>26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ht="15.75" x14ac:dyDescent="0.25">
      <c r="A207" s="15" t="s">
        <v>156</v>
      </c>
      <c r="B207" s="53">
        <f>0.2931*B206</f>
        <v>330.9650609971921</v>
      </c>
      <c r="C207" s="12" t="s">
        <v>26</v>
      </c>
      <c r="G207" s="15"/>
      <c r="H207" s="53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5.75" x14ac:dyDescent="0.25">
      <c r="A208" s="2" t="s">
        <v>559</v>
      </c>
      <c r="B208" s="33"/>
      <c r="G208" s="2" t="s">
        <v>559</v>
      </c>
      <c r="H208" s="33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ht="15.75" x14ac:dyDescent="0.25">
      <c r="A209" s="15" t="s">
        <v>330</v>
      </c>
      <c r="B209" s="33" t="s">
        <v>556</v>
      </c>
      <c r="G209" s="15" t="s">
        <v>330</v>
      </c>
      <c r="H209" s="33" t="s">
        <v>556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15.75" x14ac:dyDescent="0.25">
      <c r="A210" s="15" t="s">
        <v>20</v>
      </c>
      <c r="B210" s="33" t="s">
        <v>558</v>
      </c>
      <c r="G210" s="15" t="s">
        <v>20</v>
      </c>
      <c r="H210" s="33" t="s">
        <v>558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15.75" x14ac:dyDescent="0.25">
      <c r="A211" s="15" t="s">
        <v>557</v>
      </c>
      <c r="B211" s="52">
        <f>B172-((B204)*(1/B171))</f>
        <v>64.354059007212697</v>
      </c>
      <c r="C211" s="12" t="s">
        <v>10</v>
      </c>
      <c r="G211" s="15" t="s">
        <v>557</v>
      </c>
      <c r="H211" s="52">
        <f>H172-((H204)*(1/H171))</f>
        <v>17.950250248916696</v>
      </c>
      <c r="I211" s="12" t="s">
        <v>10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5.75" x14ac:dyDescent="0.25">
      <c r="A212" s="2" t="s">
        <v>560</v>
      </c>
      <c r="B212" s="33"/>
      <c r="C212" s="12"/>
      <c r="G212" s="2" t="s">
        <v>560</v>
      </c>
      <c r="H212" s="33"/>
      <c r="I212" s="12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15.75" x14ac:dyDescent="0.25">
      <c r="A213" s="15" t="s">
        <v>330</v>
      </c>
      <c r="B213" s="33" t="s">
        <v>368</v>
      </c>
      <c r="C213" s="12"/>
      <c r="G213" s="15" t="s">
        <v>330</v>
      </c>
      <c r="H213" s="33" t="s">
        <v>368</v>
      </c>
      <c r="I213" s="12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ht="15.75" x14ac:dyDescent="0.25">
      <c r="A214" s="15" t="s">
        <v>17</v>
      </c>
      <c r="B214" s="33" t="s">
        <v>561</v>
      </c>
      <c r="C214" s="12"/>
      <c r="G214" s="15" t="s">
        <v>17</v>
      </c>
      <c r="H214" s="33" t="s">
        <v>561</v>
      </c>
      <c r="I214" s="12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5.75" x14ac:dyDescent="0.25">
      <c r="A215" s="15" t="s">
        <v>369</v>
      </c>
      <c r="B215" s="52">
        <f>B211-(B204*(B174/12)/B177)</f>
        <v>49.87728723083498</v>
      </c>
      <c r="C215" s="12" t="s">
        <v>10</v>
      </c>
      <c r="G215" s="15" t="s">
        <v>369</v>
      </c>
      <c r="H215" s="52">
        <f>H211-(H204*(0.3048*H174/12)/H177)</f>
        <v>7.8251364719657044</v>
      </c>
      <c r="I215" s="12" t="s">
        <v>10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x14ac:dyDescent="0.2"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ht="15.75" x14ac:dyDescent="0.25">
      <c r="G217" s="24"/>
      <c r="H217" s="30"/>
      <c r="I217" s="35"/>
      <c r="J217" s="4"/>
      <c r="K217" s="30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15.75" x14ac:dyDescent="0.25">
      <c r="G218" s="24"/>
      <c r="H218" s="54"/>
      <c r="I218" s="3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16.5" thickBot="1" x14ac:dyDescent="0.3">
      <c r="A219" s="2"/>
      <c r="B219" s="20" t="s">
        <v>38</v>
      </c>
      <c r="G219" s="24"/>
      <c r="H219" s="54"/>
      <c r="I219" s="3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15.75" x14ac:dyDescent="0.25">
      <c r="A220" s="7" t="s">
        <v>517</v>
      </c>
      <c r="B220" s="45">
        <v>12</v>
      </c>
      <c r="C220" s="13" t="s">
        <v>90</v>
      </c>
      <c r="G220" s="24"/>
      <c r="H220" s="54"/>
      <c r="I220" s="30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15.75" x14ac:dyDescent="0.25">
      <c r="A221" s="7" t="s">
        <v>518</v>
      </c>
      <c r="B221" s="37">
        <v>12</v>
      </c>
      <c r="C221" s="13" t="s">
        <v>90</v>
      </c>
      <c r="G221" s="24"/>
      <c r="H221" s="54"/>
      <c r="I221" s="3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15.75" x14ac:dyDescent="0.25">
      <c r="A222" s="7" t="s">
        <v>359</v>
      </c>
      <c r="B222" s="36">
        <v>0.5</v>
      </c>
      <c r="C222" s="13" t="s">
        <v>358</v>
      </c>
      <c r="G222" s="24"/>
      <c r="H222" s="54"/>
      <c r="I222" s="3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15.75" x14ac:dyDescent="0.25">
      <c r="A223" s="7" t="s">
        <v>362</v>
      </c>
      <c r="B223" s="36">
        <v>70</v>
      </c>
      <c r="C223" s="13" t="s">
        <v>10</v>
      </c>
      <c r="G223" s="24"/>
      <c r="H223" s="30"/>
      <c r="I223" s="35"/>
      <c r="J223" s="27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15.75" x14ac:dyDescent="0.25">
      <c r="A224" s="7" t="s">
        <v>363</v>
      </c>
      <c r="B224" s="36">
        <v>20</v>
      </c>
      <c r="C224" s="13" t="s">
        <v>10</v>
      </c>
      <c r="G224" s="24"/>
      <c r="H224" s="54"/>
      <c r="I224" s="35"/>
      <c r="J224" s="27"/>
      <c r="K224" s="4"/>
      <c r="L224" s="30"/>
      <c r="M224" s="4"/>
      <c r="N224" s="4"/>
      <c r="O224" s="4"/>
      <c r="P224" s="4"/>
      <c r="Q224" s="4"/>
      <c r="R224" s="4"/>
      <c r="S224" s="4"/>
      <c r="T224" s="4"/>
    </row>
    <row r="225" spans="1:20" ht="15.75" x14ac:dyDescent="0.25">
      <c r="A225" s="7" t="s">
        <v>481</v>
      </c>
      <c r="B225" s="47">
        <v>0.26315363518876606</v>
      </c>
      <c r="C225" s="13" t="s">
        <v>298</v>
      </c>
      <c r="G225" s="24"/>
      <c r="H225" s="30"/>
      <c r="I225" s="35"/>
      <c r="J225" s="27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15.75" x14ac:dyDescent="0.25">
      <c r="A226" s="7" t="s">
        <v>415</v>
      </c>
      <c r="B226" s="37">
        <v>2</v>
      </c>
      <c r="C226" s="13" t="s">
        <v>247</v>
      </c>
      <c r="G226" s="24"/>
      <c r="H226" s="55"/>
      <c r="I226" s="30"/>
      <c r="J226" s="26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ht="16.5" thickBot="1" x14ac:dyDescent="0.3">
      <c r="A227" s="7" t="s">
        <v>416</v>
      </c>
      <c r="B227" s="48">
        <v>10</v>
      </c>
      <c r="C227" s="13" t="s">
        <v>247</v>
      </c>
      <c r="G227" s="24"/>
      <c r="H227" s="35"/>
      <c r="I227" s="3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15.75" x14ac:dyDescent="0.25">
      <c r="B228" s="20" t="s">
        <v>687</v>
      </c>
      <c r="C228" s="13"/>
      <c r="F228" s="4"/>
      <c r="G228" s="24"/>
      <c r="H228" s="30"/>
      <c r="I228" s="3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15.75" x14ac:dyDescent="0.25">
      <c r="A229" s="15" t="s">
        <v>361</v>
      </c>
      <c r="B229" s="12" t="s">
        <v>530</v>
      </c>
      <c r="C229" s="33"/>
      <c r="F229" s="4"/>
      <c r="G229" s="24"/>
      <c r="H229" s="30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15.75" x14ac:dyDescent="0.25">
      <c r="A230" s="15" t="s">
        <v>16</v>
      </c>
      <c r="B230" s="50">
        <f>B220*B221/144</f>
        <v>1</v>
      </c>
      <c r="C230" s="12" t="s">
        <v>357</v>
      </c>
      <c r="F230" s="4"/>
      <c r="G230" s="24"/>
      <c r="H230" s="56"/>
      <c r="I230" s="30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15.75" x14ac:dyDescent="0.25">
      <c r="A231" s="15" t="s">
        <v>336</v>
      </c>
      <c r="B231" s="12" t="s">
        <v>375</v>
      </c>
      <c r="C231" s="33"/>
      <c r="E231" s="12" t="s">
        <v>19</v>
      </c>
      <c r="F231" s="4"/>
      <c r="G231" s="24"/>
      <c r="H231" s="30"/>
      <c r="I231" s="4"/>
      <c r="J231" s="30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15.75" x14ac:dyDescent="0.25">
      <c r="A232" s="15" t="s">
        <v>336</v>
      </c>
      <c r="B232" s="34">
        <f>1/B226</f>
        <v>0.5</v>
      </c>
      <c r="C232" s="33"/>
      <c r="F232" s="4"/>
      <c r="G232" s="24"/>
      <c r="H232" s="57"/>
      <c r="I232" s="30"/>
      <c r="J232" s="4"/>
      <c r="K232" s="4"/>
      <c r="L232" s="30"/>
      <c r="M232" s="4"/>
      <c r="N232" s="4"/>
      <c r="O232" s="4"/>
      <c r="P232" s="4"/>
      <c r="Q232" s="4"/>
      <c r="R232" s="4"/>
      <c r="S232" s="4"/>
      <c r="T232" s="4"/>
    </row>
    <row r="233" spans="1:20" ht="15.75" x14ac:dyDescent="0.25">
      <c r="A233" s="15" t="s">
        <v>339</v>
      </c>
      <c r="B233" s="34" t="s">
        <v>482</v>
      </c>
      <c r="C233" s="33"/>
      <c r="F233" s="4"/>
      <c r="G233" s="58"/>
      <c r="H233" s="3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15.75" x14ac:dyDescent="0.25">
      <c r="A234" s="15" t="s">
        <v>339</v>
      </c>
      <c r="B234" s="34">
        <f>B222/B225</f>
        <v>1.9000307544349091</v>
      </c>
      <c r="C234" s="12"/>
      <c r="F234" s="4"/>
      <c r="G234" s="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ht="15.75" x14ac:dyDescent="0.25">
      <c r="A235" s="15" t="s">
        <v>340</v>
      </c>
      <c r="B235" s="34" t="s">
        <v>376</v>
      </c>
      <c r="C235" s="33"/>
      <c r="E235" s="1" t="s">
        <v>6</v>
      </c>
      <c r="F235" s="4"/>
      <c r="G235" s="24"/>
      <c r="H235" s="30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5.75" x14ac:dyDescent="0.25">
      <c r="A236" s="15" t="s">
        <v>340</v>
      </c>
      <c r="B236" s="34">
        <f>1/B227</f>
        <v>0.1</v>
      </c>
      <c r="C236" s="33"/>
      <c r="F236" s="4"/>
      <c r="G236" s="24"/>
      <c r="H236" s="30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15.75" x14ac:dyDescent="0.25">
      <c r="A237" s="15" t="s">
        <v>243</v>
      </c>
      <c r="B237" s="12" t="s">
        <v>349</v>
      </c>
      <c r="C237" s="33"/>
      <c r="D237" s="13"/>
      <c r="F237" s="4"/>
      <c r="G237" s="24"/>
      <c r="H237" s="56"/>
      <c r="I237" s="30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ht="15.75" x14ac:dyDescent="0.25">
      <c r="A238" s="15" t="s">
        <v>365</v>
      </c>
      <c r="B238" s="34">
        <f>B232+B234+B236</f>
        <v>2.5000307544349094</v>
      </c>
      <c r="C238" s="33"/>
      <c r="D238" s="13"/>
      <c r="F238" s="30" t="s">
        <v>19</v>
      </c>
      <c r="G238" s="24"/>
      <c r="H238" s="30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5.75" x14ac:dyDescent="0.25">
      <c r="A239" s="15" t="s">
        <v>610</v>
      </c>
      <c r="B239" s="12" t="s">
        <v>364</v>
      </c>
      <c r="C239" s="33"/>
      <c r="D239" s="13"/>
      <c r="F239" s="4"/>
      <c r="G239" s="24"/>
      <c r="H239" s="30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15.75" x14ac:dyDescent="0.25">
      <c r="A240" s="15" t="s">
        <v>345</v>
      </c>
      <c r="B240" s="59">
        <f>B223-B224</f>
        <v>50</v>
      </c>
      <c r="C240" s="12" t="s">
        <v>10</v>
      </c>
      <c r="D240" s="44"/>
      <c r="F240" s="4"/>
      <c r="G240" s="24"/>
      <c r="H240" s="30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ht="15.75" x14ac:dyDescent="0.25">
      <c r="A241" s="15"/>
      <c r="B241" s="33"/>
      <c r="C241" s="33"/>
      <c r="F241" s="4"/>
      <c r="G241" s="24"/>
      <c r="H241" s="56"/>
      <c r="I241" s="30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ht="15.75" x14ac:dyDescent="0.25">
      <c r="A242" s="15" t="s">
        <v>330</v>
      </c>
      <c r="B242" s="12" t="s">
        <v>366</v>
      </c>
      <c r="C242" s="33"/>
      <c r="F242" s="4"/>
      <c r="G242" s="3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ht="15.75" x14ac:dyDescent="0.25">
      <c r="A243" s="15" t="s">
        <v>22</v>
      </c>
      <c r="B243" s="60">
        <f>B240/B238</f>
        <v>19.99975396754736</v>
      </c>
      <c r="C243" s="33" t="s">
        <v>367</v>
      </c>
      <c r="F243" s="4"/>
      <c r="G243" s="3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ht="16.5" thickBot="1" x14ac:dyDescent="0.3">
      <c r="A244" s="15" t="s">
        <v>275</v>
      </c>
      <c r="B244" s="12" t="s">
        <v>531</v>
      </c>
      <c r="C244" s="12"/>
      <c r="F244" s="4"/>
      <c r="G244" s="3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15.75" x14ac:dyDescent="0.25">
      <c r="A245" s="15" t="s">
        <v>14</v>
      </c>
      <c r="B245" s="61">
        <f>B230*B243</f>
        <v>19.99975396754736</v>
      </c>
      <c r="C245" s="12" t="s">
        <v>84</v>
      </c>
      <c r="D245" s="12" t="s">
        <v>19</v>
      </c>
      <c r="F245" s="4"/>
      <c r="G245" s="3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16.5" thickBot="1" x14ac:dyDescent="0.3">
      <c r="A246" s="15" t="s">
        <v>14</v>
      </c>
      <c r="B246" s="62">
        <f>B245*0.2931</f>
        <v>5.8619278878881316</v>
      </c>
      <c r="C246" s="12" t="s">
        <v>26</v>
      </c>
      <c r="F246" s="30"/>
      <c r="G246" s="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ht="15.75" x14ac:dyDescent="0.25">
      <c r="A247" s="2" t="s">
        <v>353</v>
      </c>
      <c r="B247" s="33"/>
      <c r="D247" s="1" t="s">
        <v>19</v>
      </c>
      <c r="F247" s="4"/>
      <c r="G247" s="3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x14ac:dyDescent="0.2">
      <c r="A248" s="7" t="s">
        <v>19</v>
      </c>
      <c r="F248" s="4"/>
      <c r="G248" s="3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ht="15.75" x14ac:dyDescent="0.25">
      <c r="A249" s="15" t="s">
        <v>330</v>
      </c>
      <c r="B249" s="12" t="s">
        <v>373</v>
      </c>
      <c r="F249" s="4"/>
      <c r="G249" s="3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15.75" x14ac:dyDescent="0.25">
      <c r="A250" s="15" t="s">
        <v>17</v>
      </c>
      <c r="B250" s="12" t="s">
        <v>374</v>
      </c>
      <c r="F250" s="4"/>
      <c r="G250" s="3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15.75" x14ac:dyDescent="0.25">
      <c r="A251" s="15" t="s">
        <v>369</v>
      </c>
      <c r="B251" s="60">
        <f>B223-(B243*(B232))</f>
        <v>60.000123016226318</v>
      </c>
      <c r="C251" s="12" t="s">
        <v>10</v>
      </c>
      <c r="F251" s="4"/>
      <c r="G251" s="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15.75" x14ac:dyDescent="0.25">
      <c r="A252" s="15"/>
      <c r="B252" s="12"/>
      <c r="F252" s="4"/>
      <c r="G252" s="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ht="15.75" x14ac:dyDescent="0.25">
      <c r="A253" s="15" t="s">
        <v>330</v>
      </c>
      <c r="B253" s="12" t="s">
        <v>377</v>
      </c>
      <c r="F253" s="4"/>
      <c r="G253" s="3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15.75" x14ac:dyDescent="0.25">
      <c r="A254" s="15" t="s">
        <v>18</v>
      </c>
      <c r="B254" s="12" t="s">
        <v>378</v>
      </c>
      <c r="F254" s="4"/>
      <c r="G254" s="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ht="15.75" x14ac:dyDescent="0.25">
      <c r="A255" s="15" t="s">
        <v>370</v>
      </c>
      <c r="B255" s="60">
        <f>B224+(B243*B236)</f>
        <v>21.999975396754735</v>
      </c>
      <c r="C255" s="12" t="s">
        <v>10</v>
      </c>
      <c r="F255" s="30"/>
      <c r="G255" s="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ht="15.75" x14ac:dyDescent="0.25">
      <c r="A256" s="2"/>
      <c r="F256" s="4"/>
      <c r="G256" s="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18" x14ac:dyDescent="0.25">
      <c r="A257" s="70" t="s">
        <v>382</v>
      </c>
      <c r="F257" s="4"/>
      <c r="G257" s="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ht="15.75" x14ac:dyDescent="0.25">
      <c r="A258" s="109" t="s">
        <v>629</v>
      </c>
      <c r="G258" s="3"/>
      <c r="H258" s="4"/>
      <c r="I258" s="4"/>
      <c r="J258" s="4"/>
      <c r="K258" s="4"/>
      <c r="L258" s="4"/>
    </row>
    <row r="259" spans="1:20" ht="18" x14ac:dyDescent="0.25">
      <c r="G259" s="3"/>
      <c r="H259" s="4"/>
      <c r="I259" s="4"/>
      <c r="J259" s="147" t="s">
        <v>723</v>
      </c>
      <c r="K259" s="4"/>
      <c r="L259" s="4"/>
    </row>
    <row r="260" spans="1:20" x14ac:dyDescent="0.2">
      <c r="A260" s="5" t="s">
        <v>383</v>
      </c>
      <c r="G260" s="3"/>
      <c r="H260" s="4"/>
      <c r="I260" s="4"/>
      <c r="K260" s="4"/>
      <c r="L260" s="4"/>
    </row>
    <row r="261" spans="1:20" ht="15.75" x14ac:dyDescent="0.25">
      <c r="G261" s="3"/>
      <c r="H261" s="4"/>
      <c r="I261" s="30" t="s">
        <v>651</v>
      </c>
      <c r="J261" s="146" t="s">
        <v>627</v>
      </c>
      <c r="K261" s="74"/>
      <c r="L261" s="4"/>
      <c r="M261" s="1" t="s">
        <v>735</v>
      </c>
    </row>
    <row r="262" spans="1:20" x14ac:dyDescent="0.2">
      <c r="A262" s="7" t="s">
        <v>384</v>
      </c>
      <c r="B262" s="1" t="s">
        <v>385</v>
      </c>
      <c r="G262" s="3"/>
      <c r="H262" s="4"/>
      <c r="I262" s="27">
        <v>1</v>
      </c>
      <c r="J262" s="74" t="s">
        <v>628</v>
      </c>
      <c r="K262" s="74"/>
      <c r="L262" s="4"/>
    </row>
    <row r="263" spans="1:20" x14ac:dyDescent="0.2">
      <c r="G263" s="3"/>
      <c r="H263" s="4"/>
      <c r="I263" s="27">
        <v>2</v>
      </c>
      <c r="J263" s="4" t="s">
        <v>708</v>
      </c>
      <c r="K263" s="4"/>
      <c r="L263" s="4"/>
    </row>
    <row r="264" spans="1:20" x14ac:dyDescent="0.2">
      <c r="A264" s="7" t="s">
        <v>23</v>
      </c>
      <c r="B264" s="1" t="s">
        <v>603</v>
      </c>
      <c r="G264" s="3"/>
      <c r="H264" s="4"/>
      <c r="I264" s="27">
        <v>3</v>
      </c>
      <c r="J264" s="4" t="s">
        <v>709</v>
      </c>
      <c r="K264" s="4"/>
      <c r="L264" s="4"/>
    </row>
    <row r="265" spans="1:20" x14ac:dyDescent="0.2">
      <c r="G265" s="3"/>
      <c r="H265" s="4"/>
      <c r="I265" s="27">
        <v>4</v>
      </c>
      <c r="J265" s="4" t="s">
        <v>738</v>
      </c>
      <c r="K265" s="4"/>
      <c r="L265" s="4"/>
    </row>
    <row r="266" spans="1:20" x14ac:dyDescent="0.2">
      <c r="A266" s="5" t="s">
        <v>394</v>
      </c>
      <c r="G266" s="3"/>
      <c r="H266" s="4"/>
      <c r="I266" s="27">
        <v>5</v>
      </c>
      <c r="J266" s="4" t="s">
        <v>710</v>
      </c>
      <c r="K266" s="4"/>
      <c r="L266" s="4"/>
    </row>
    <row r="267" spans="1:20" x14ac:dyDescent="0.2">
      <c r="A267" s="7" t="s">
        <v>386</v>
      </c>
      <c r="B267" s="1" t="s">
        <v>387</v>
      </c>
      <c r="G267" s="3"/>
      <c r="H267" s="4"/>
      <c r="I267" s="27">
        <v>6</v>
      </c>
      <c r="J267" s="4" t="s">
        <v>711</v>
      </c>
      <c r="K267" s="4"/>
      <c r="L267" s="74"/>
    </row>
    <row r="268" spans="1:20" x14ac:dyDescent="0.2">
      <c r="G268" s="3"/>
      <c r="H268" s="4"/>
      <c r="I268" s="27">
        <v>7</v>
      </c>
      <c r="J268" s="1" t="s">
        <v>712</v>
      </c>
      <c r="L268" s="74"/>
    </row>
    <row r="269" spans="1:20" x14ac:dyDescent="0.2">
      <c r="A269" s="7" t="s">
        <v>388</v>
      </c>
      <c r="B269" s="1" t="s">
        <v>392</v>
      </c>
      <c r="G269" s="3"/>
      <c r="H269" s="4"/>
      <c r="I269" s="27">
        <v>8</v>
      </c>
      <c r="J269" s="1" t="s">
        <v>713</v>
      </c>
      <c r="L269" s="4"/>
    </row>
    <row r="270" spans="1:20" ht="15.75" thickBot="1" x14ac:dyDescent="0.25">
      <c r="G270" s="3"/>
      <c r="H270" s="4"/>
      <c r="I270" s="27">
        <v>9</v>
      </c>
      <c r="J270" s="148" t="s">
        <v>714</v>
      </c>
      <c r="L270" s="4"/>
    </row>
    <row r="271" spans="1:20" x14ac:dyDescent="0.2">
      <c r="A271" s="7" t="s">
        <v>390</v>
      </c>
      <c r="B271" s="1" t="s">
        <v>389</v>
      </c>
      <c r="G271" s="3"/>
      <c r="H271" s="4"/>
      <c r="I271" s="27">
        <v>10</v>
      </c>
      <c r="J271" s="148" t="s">
        <v>714</v>
      </c>
      <c r="L271" s="149" t="s">
        <v>715</v>
      </c>
      <c r="M271" s="102"/>
      <c r="N271" s="102"/>
      <c r="O271" s="103"/>
    </row>
    <row r="272" spans="1:20" ht="15.75" thickBot="1" x14ac:dyDescent="0.25">
      <c r="G272" s="3"/>
      <c r="H272" s="4"/>
      <c r="I272" s="27">
        <v>11</v>
      </c>
      <c r="J272" s="148" t="s">
        <v>714</v>
      </c>
      <c r="L272" s="150" t="s">
        <v>716</v>
      </c>
      <c r="M272" s="107" t="s">
        <v>721</v>
      </c>
      <c r="N272" s="107"/>
      <c r="O272" s="108"/>
    </row>
    <row r="273" spans="1:16" x14ac:dyDescent="0.2">
      <c r="A273" s="7" t="s">
        <v>391</v>
      </c>
      <c r="B273" s="1" t="s">
        <v>393</v>
      </c>
      <c r="G273" s="3"/>
      <c r="H273" s="4"/>
      <c r="I273" s="27">
        <v>12</v>
      </c>
      <c r="J273" s="148" t="s">
        <v>714</v>
      </c>
      <c r="L273" s="4"/>
    </row>
    <row r="274" spans="1:16" x14ac:dyDescent="0.2">
      <c r="G274" s="3"/>
      <c r="H274" s="4"/>
      <c r="I274" s="27">
        <v>13</v>
      </c>
      <c r="J274" s="1" t="s">
        <v>724</v>
      </c>
    </row>
    <row r="275" spans="1:16" x14ac:dyDescent="0.2">
      <c r="A275" s="7" t="s">
        <v>395</v>
      </c>
      <c r="G275" s="3"/>
      <c r="H275" s="4"/>
      <c r="I275" s="27">
        <v>14</v>
      </c>
      <c r="J275" s="1" t="s">
        <v>725</v>
      </c>
    </row>
    <row r="276" spans="1:16" x14ac:dyDescent="0.2">
      <c r="A276" s="7" t="s">
        <v>384</v>
      </c>
      <c r="B276" s="1" t="s">
        <v>396</v>
      </c>
      <c r="G276" s="3"/>
      <c r="H276" s="4"/>
      <c r="I276" s="27">
        <v>15</v>
      </c>
      <c r="J276" s="1" t="s">
        <v>739</v>
      </c>
    </row>
    <row r="277" spans="1:16" x14ac:dyDescent="0.2">
      <c r="G277" s="3"/>
      <c r="H277" s="4"/>
      <c r="I277" s="4"/>
    </row>
    <row r="278" spans="1:16" ht="15.75" x14ac:dyDescent="0.25">
      <c r="G278" s="3"/>
      <c r="H278" s="4"/>
      <c r="I278" s="4"/>
      <c r="K278" s="33" t="s">
        <v>728</v>
      </c>
      <c r="O278" s="33" t="s">
        <v>727</v>
      </c>
    </row>
    <row r="279" spans="1:16" x14ac:dyDescent="0.2">
      <c r="G279" s="63"/>
      <c r="H279" s="64"/>
      <c r="I279" s="27" t="s">
        <v>409</v>
      </c>
      <c r="J279" s="104" t="s">
        <v>384</v>
      </c>
      <c r="K279" s="1" t="s">
        <v>720</v>
      </c>
      <c r="M279" s="13" t="s">
        <v>726</v>
      </c>
      <c r="N279" s="27" t="s">
        <v>409</v>
      </c>
      <c r="O279" s="7" t="s">
        <v>689</v>
      </c>
      <c r="P279" s="5" t="s">
        <v>397</v>
      </c>
    </row>
    <row r="280" spans="1:16" x14ac:dyDescent="0.2">
      <c r="G280" s="63"/>
      <c r="H280" s="64"/>
      <c r="I280" s="27" t="s">
        <v>410</v>
      </c>
      <c r="J280" s="104" t="s">
        <v>384</v>
      </c>
      <c r="K280" s="105" t="s">
        <v>717</v>
      </c>
      <c r="L280" s="143"/>
      <c r="M280" s="13" t="s">
        <v>726</v>
      </c>
      <c r="N280" s="27" t="s">
        <v>410</v>
      </c>
      <c r="O280" s="7" t="s">
        <v>729</v>
      </c>
      <c r="P280" s="5" t="s">
        <v>398</v>
      </c>
    </row>
    <row r="281" spans="1:16" x14ac:dyDescent="0.2">
      <c r="G281" s="63"/>
      <c r="H281" s="64"/>
      <c r="I281" s="27" t="s">
        <v>411</v>
      </c>
      <c r="J281" s="104" t="s">
        <v>384</v>
      </c>
      <c r="K281" s="105" t="s">
        <v>718</v>
      </c>
      <c r="L281" s="143"/>
      <c r="M281" s="13" t="s">
        <v>726</v>
      </c>
      <c r="N281" s="27" t="s">
        <v>411</v>
      </c>
      <c r="O281" s="7" t="s">
        <v>689</v>
      </c>
      <c r="P281" s="5" t="s">
        <v>399</v>
      </c>
    </row>
    <row r="282" spans="1:16" x14ac:dyDescent="0.2">
      <c r="G282" s="63"/>
      <c r="H282" s="64"/>
      <c r="I282" s="27" t="s">
        <v>412</v>
      </c>
      <c r="J282" s="104" t="s">
        <v>384</v>
      </c>
      <c r="K282" s="105" t="s">
        <v>719</v>
      </c>
      <c r="L282" s="143"/>
      <c r="M282" s="13" t="s">
        <v>726</v>
      </c>
      <c r="N282" s="27" t="s">
        <v>412</v>
      </c>
      <c r="O282" s="7" t="s">
        <v>729</v>
      </c>
      <c r="P282" s="5" t="s">
        <v>400</v>
      </c>
    </row>
    <row r="283" spans="1:16" x14ac:dyDescent="0.2">
      <c r="G283" s="63"/>
      <c r="H283" s="64"/>
      <c r="I283" s="64"/>
      <c r="M283" s="74"/>
      <c r="P283" s="7"/>
    </row>
    <row r="284" spans="1:16" ht="15.75" x14ac:dyDescent="0.25">
      <c r="G284" s="63"/>
      <c r="H284" s="64"/>
      <c r="I284" s="64"/>
      <c r="K284" s="33" t="s">
        <v>722</v>
      </c>
      <c r="L284" s="74"/>
      <c r="M284" s="74"/>
    </row>
    <row r="285" spans="1:16" x14ac:dyDescent="0.2">
      <c r="G285" s="63"/>
      <c r="H285" s="64"/>
      <c r="I285" s="64"/>
      <c r="J285" s="44" t="s">
        <v>622</v>
      </c>
      <c r="K285" s="106">
        <v>400</v>
      </c>
      <c r="L285" s="105" t="s">
        <v>8</v>
      </c>
      <c r="M285" s="143"/>
    </row>
    <row r="286" spans="1:16" x14ac:dyDescent="0.2">
      <c r="G286" s="63"/>
      <c r="H286" s="64"/>
      <c r="I286" s="64"/>
      <c r="J286" s="44" t="s">
        <v>623</v>
      </c>
      <c r="K286" s="106">
        <v>350</v>
      </c>
      <c r="L286" s="105" t="s">
        <v>8</v>
      </c>
      <c r="M286" s="143"/>
    </row>
    <row r="287" spans="1:16" x14ac:dyDescent="0.2">
      <c r="G287" s="63"/>
      <c r="H287" s="64"/>
      <c r="I287" s="64"/>
      <c r="J287" s="44" t="s">
        <v>624</v>
      </c>
      <c r="K287" s="106">
        <v>300</v>
      </c>
      <c r="L287" s="105" t="s">
        <v>8</v>
      </c>
      <c r="M287" s="143"/>
    </row>
    <row r="288" spans="1:16" x14ac:dyDescent="0.2">
      <c r="G288" s="63"/>
      <c r="H288" s="64"/>
      <c r="I288" s="64"/>
      <c r="J288" s="44" t="s">
        <v>625</v>
      </c>
      <c r="K288" s="106">
        <v>350</v>
      </c>
      <c r="L288" s="105" t="s">
        <v>8</v>
      </c>
      <c r="M288" s="143"/>
    </row>
    <row r="289" spans="1:21" ht="15.75" x14ac:dyDescent="0.25">
      <c r="G289" s="63"/>
      <c r="H289" s="64"/>
      <c r="I289" s="64"/>
      <c r="J289" s="151" t="s">
        <v>731</v>
      </c>
      <c r="K289" s="106"/>
      <c r="L289" s="74"/>
      <c r="M289" s="74"/>
    </row>
    <row r="290" spans="1:21" x14ac:dyDescent="0.2">
      <c r="G290" s="63"/>
      <c r="H290" s="64"/>
      <c r="I290" s="64"/>
      <c r="J290" s="64"/>
      <c r="K290" s="64"/>
      <c r="L290" s="64"/>
    </row>
    <row r="291" spans="1:21" ht="15.75" x14ac:dyDescent="0.25">
      <c r="E291" s="33" t="s">
        <v>730</v>
      </c>
      <c r="G291" s="63"/>
      <c r="H291" s="64"/>
      <c r="I291" s="64"/>
      <c r="J291" s="64"/>
      <c r="K291" s="6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:21" x14ac:dyDescent="0.2">
      <c r="B292" s="5"/>
      <c r="K292" s="64"/>
      <c r="L292" s="27"/>
      <c r="M292" s="4"/>
      <c r="N292" s="4"/>
      <c r="O292" s="4"/>
      <c r="P292" s="4"/>
      <c r="Q292" s="4"/>
      <c r="R292" s="4"/>
      <c r="S292" s="4"/>
      <c r="T292" s="4"/>
      <c r="U292" s="4"/>
    </row>
    <row r="293" spans="1:21" x14ac:dyDescent="0.2">
      <c r="J293" s="64"/>
      <c r="K293" s="64"/>
      <c r="L293" s="27"/>
      <c r="M293" s="4"/>
      <c r="N293" s="4"/>
      <c r="O293" s="4"/>
      <c r="P293" s="4"/>
      <c r="Q293" s="4"/>
      <c r="R293" s="4"/>
      <c r="S293" s="4"/>
      <c r="T293" s="4"/>
      <c r="U293" s="4"/>
    </row>
    <row r="294" spans="1:21" ht="15.75" x14ac:dyDescent="0.25">
      <c r="C294" s="13" t="s">
        <v>690</v>
      </c>
      <c r="F294" s="33" t="s">
        <v>727</v>
      </c>
      <c r="G294" s="1"/>
      <c r="H294" s="7"/>
      <c r="K294" s="64"/>
      <c r="L294" s="27"/>
      <c r="M294" s="4"/>
      <c r="N294" s="4"/>
      <c r="O294" s="4"/>
      <c r="P294" s="4"/>
      <c r="Q294" s="4"/>
      <c r="R294" s="4"/>
      <c r="S294" s="4"/>
      <c r="T294" s="4"/>
      <c r="U294" s="4"/>
    </row>
    <row r="295" spans="1:21" x14ac:dyDescent="0.2">
      <c r="C295" s="13">
        <v>1</v>
      </c>
      <c r="D295" s="13" t="s">
        <v>691</v>
      </c>
      <c r="E295" s="7" t="s">
        <v>689</v>
      </c>
      <c r="F295" s="5" t="s">
        <v>401</v>
      </c>
      <c r="G295" s="1"/>
      <c r="I295" s="64"/>
      <c r="J295" s="7"/>
      <c r="K295" s="5"/>
      <c r="L295" s="4"/>
      <c r="M295" s="4"/>
      <c r="N295" s="4"/>
      <c r="O295" s="72"/>
      <c r="P295" s="4"/>
      <c r="Q295" s="4"/>
      <c r="R295" s="4"/>
      <c r="S295" s="4"/>
      <c r="T295" s="4"/>
      <c r="U295" s="4"/>
    </row>
    <row r="296" spans="1:21" x14ac:dyDescent="0.2">
      <c r="C296" s="13">
        <v>2</v>
      </c>
      <c r="D296" s="13" t="s">
        <v>692</v>
      </c>
      <c r="E296" s="7" t="s">
        <v>689</v>
      </c>
      <c r="F296" s="5" t="s">
        <v>402</v>
      </c>
      <c r="G296" s="1"/>
      <c r="I296" s="64"/>
      <c r="J296" s="7"/>
      <c r="K296" s="5"/>
      <c r="L296" s="4"/>
      <c r="M296" s="4"/>
      <c r="N296" s="4"/>
      <c r="O296" s="27"/>
      <c r="P296" s="27"/>
      <c r="Q296" s="4"/>
      <c r="R296" s="4"/>
      <c r="S296" s="4"/>
      <c r="T296" s="4"/>
      <c r="U296" s="4"/>
    </row>
    <row r="297" spans="1:21" x14ac:dyDescent="0.2">
      <c r="C297" s="13">
        <v>3</v>
      </c>
      <c r="D297" s="13" t="s">
        <v>693</v>
      </c>
      <c r="E297" s="7" t="s">
        <v>384</v>
      </c>
      <c r="F297" s="5" t="s">
        <v>403</v>
      </c>
      <c r="G297" s="1"/>
      <c r="J297" s="7"/>
      <c r="K297" s="5"/>
      <c r="L297" s="4"/>
      <c r="M297" s="27"/>
      <c r="N297" s="27"/>
      <c r="O297" s="27"/>
      <c r="P297" s="27"/>
      <c r="Q297" s="4"/>
      <c r="R297" s="4"/>
      <c r="S297" s="4"/>
      <c r="T297" s="4"/>
      <c r="U297" s="4"/>
    </row>
    <row r="298" spans="1:21" x14ac:dyDescent="0.2">
      <c r="C298" s="13">
        <v>4</v>
      </c>
      <c r="D298" s="13" t="s">
        <v>694</v>
      </c>
      <c r="E298" s="7" t="s">
        <v>689</v>
      </c>
      <c r="F298" s="5" t="s">
        <v>404</v>
      </c>
      <c r="G298" s="1"/>
      <c r="I298" s="64"/>
      <c r="J298" s="7"/>
      <c r="K298" s="5"/>
      <c r="L298" s="4"/>
      <c r="M298" s="27"/>
      <c r="N298" s="27"/>
      <c r="O298" s="27"/>
      <c r="P298" s="27"/>
      <c r="Q298" s="4"/>
      <c r="R298" s="4"/>
      <c r="S298" s="4"/>
      <c r="T298" s="4"/>
      <c r="U298" s="4"/>
    </row>
    <row r="299" spans="1:21" x14ac:dyDescent="0.2">
      <c r="C299" s="13">
        <v>5</v>
      </c>
      <c r="D299" s="13" t="s">
        <v>695</v>
      </c>
      <c r="E299" s="7" t="s">
        <v>689</v>
      </c>
      <c r="F299" s="5" t="s">
        <v>405</v>
      </c>
      <c r="G299" s="1"/>
      <c r="I299" s="64"/>
      <c r="J299" s="7"/>
      <c r="K299" s="5"/>
      <c r="L299" s="4"/>
      <c r="M299" s="27"/>
      <c r="N299" s="27"/>
      <c r="O299" s="27"/>
      <c r="P299" s="27"/>
      <c r="Q299" s="4"/>
      <c r="R299" s="4"/>
      <c r="S299" s="4"/>
      <c r="T299" s="4"/>
      <c r="U299" s="4"/>
    </row>
    <row r="300" spans="1:21" x14ac:dyDescent="0.2">
      <c r="C300" s="13">
        <v>6</v>
      </c>
      <c r="D300" s="13" t="s">
        <v>697</v>
      </c>
      <c r="E300" s="7" t="s">
        <v>384</v>
      </c>
      <c r="F300" s="5" t="s">
        <v>406</v>
      </c>
      <c r="G300" s="1"/>
      <c r="I300" s="64"/>
      <c r="J300" s="7"/>
      <c r="K300" s="5"/>
      <c r="L300" s="4"/>
      <c r="M300" s="27"/>
      <c r="N300" s="27"/>
      <c r="O300" s="27"/>
      <c r="P300" s="27"/>
      <c r="Q300" s="4"/>
      <c r="R300" s="4"/>
      <c r="S300" s="4"/>
      <c r="T300" s="4"/>
      <c r="U300" s="4"/>
    </row>
    <row r="301" spans="1:21" x14ac:dyDescent="0.2">
      <c r="A301" s="7" t="s">
        <v>696</v>
      </c>
      <c r="C301" s="13">
        <v>7</v>
      </c>
      <c r="D301" s="13" t="s">
        <v>696</v>
      </c>
      <c r="E301" s="7" t="s">
        <v>689</v>
      </c>
      <c r="F301" s="5" t="s">
        <v>413</v>
      </c>
      <c r="G301" s="1"/>
      <c r="I301" s="64"/>
      <c r="J301" s="7"/>
      <c r="K301" s="5"/>
      <c r="L301" s="4"/>
      <c r="M301" s="27"/>
      <c r="N301" s="72"/>
      <c r="O301" s="27"/>
      <c r="P301" s="27"/>
      <c r="Q301" s="4"/>
      <c r="R301" s="4"/>
      <c r="S301" s="4"/>
      <c r="T301" s="4"/>
      <c r="U301" s="4"/>
    </row>
    <row r="302" spans="1:21" x14ac:dyDescent="0.2">
      <c r="C302" s="13">
        <v>8</v>
      </c>
      <c r="D302" s="13" t="s">
        <v>524</v>
      </c>
      <c r="E302" s="7" t="s">
        <v>689</v>
      </c>
      <c r="F302" s="5" t="s">
        <v>407</v>
      </c>
      <c r="G302" s="1"/>
      <c r="I302" s="64"/>
      <c r="J302" s="7"/>
      <c r="K302" s="5"/>
      <c r="L302" s="4"/>
      <c r="M302" s="27"/>
      <c r="N302" s="72"/>
      <c r="O302" s="27"/>
      <c r="P302" s="27"/>
      <c r="Q302" s="4"/>
      <c r="R302" s="4"/>
      <c r="S302" s="4"/>
      <c r="T302" s="4"/>
      <c r="U302" s="4"/>
    </row>
    <row r="303" spans="1:21" x14ac:dyDescent="0.2">
      <c r="C303" s="13">
        <v>9</v>
      </c>
      <c r="D303" s="13" t="s">
        <v>698</v>
      </c>
      <c r="E303" s="7" t="s">
        <v>384</v>
      </c>
      <c r="F303" s="5" t="s">
        <v>408</v>
      </c>
      <c r="G303" s="1"/>
      <c r="I303" s="64"/>
      <c r="J303" s="7"/>
      <c r="K303" s="5"/>
      <c r="L303" s="4"/>
      <c r="M303" s="27"/>
      <c r="N303" s="72"/>
      <c r="O303" s="27"/>
      <c r="P303" s="27"/>
      <c r="Q303" s="4"/>
      <c r="R303" s="4"/>
      <c r="S303" s="4"/>
      <c r="T303" s="4"/>
      <c r="U303" s="4"/>
    </row>
    <row r="304" spans="1:21" x14ac:dyDescent="0.2">
      <c r="L304" s="4"/>
      <c r="M304" s="4"/>
      <c r="N304" s="4"/>
      <c r="O304" s="4"/>
      <c r="P304" s="4"/>
      <c r="Q304" s="4"/>
      <c r="R304" s="4"/>
      <c r="S304" s="4"/>
      <c r="T304" s="4"/>
      <c r="U304" s="4"/>
    </row>
    <row r="305" spans="1:21" ht="15.75" x14ac:dyDescent="0.25">
      <c r="C305" s="13" t="s">
        <v>690</v>
      </c>
      <c r="F305" s="33" t="s">
        <v>728</v>
      </c>
      <c r="G305" s="63"/>
      <c r="H305" s="65"/>
      <c r="I305" s="64"/>
      <c r="J305" s="33" t="s">
        <v>722</v>
      </c>
      <c r="K305" s="64"/>
      <c r="L305" s="4"/>
      <c r="M305" s="4"/>
      <c r="N305" s="4"/>
      <c r="O305" s="4"/>
      <c r="P305" s="4"/>
      <c r="Q305" s="4"/>
      <c r="R305" s="4"/>
      <c r="S305" s="4"/>
      <c r="T305" s="4"/>
      <c r="U305" s="4"/>
    </row>
    <row r="306" spans="1:21" x14ac:dyDescent="0.2">
      <c r="C306" s="13">
        <v>1</v>
      </c>
      <c r="D306" s="13" t="s">
        <v>691</v>
      </c>
      <c r="E306" s="7" t="s">
        <v>689</v>
      </c>
      <c r="F306" s="5" t="s">
        <v>699</v>
      </c>
      <c r="G306" s="1"/>
      <c r="I306" s="7">
        <v>236</v>
      </c>
      <c r="J306" s="105" t="s">
        <v>8</v>
      </c>
      <c r="L306" s="4"/>
      <c r="M306" s="4"/>
      <c r="N306" s="4"/>
      <c r="O306" s="4"/>
      <c r="P306" s="4"/>
      <c r="Q306" s="4"/>
      <c r="R306" s="4"/>
      <c r="S306" s="4"/>
      <c r="T306" s="4"/>
      <c r="U306" s="4"/>
    </row>
    <row r="307" spans="1:21" x14ac:dyDescent="0.2">
      <c r="C307" s="13">
        <v>2</v>
      </c>
      <c r="D307" s="13" t="s">
        <v>692</v>
      </c>
      <c r="E307" s="7" t="s">
        <v>689</v>
      </c>
      <c r="F307" s="5" t="s">
        <v>700</v>
      </c>
      <c r="G307" s="1"/>
      <c r="I307" s="7">
        <v>166</v>
      </c>
      <c r="J307" s="105" t="s">
        <v>8</v>
      </c>
      <c r="L307" s="4"/>
      <c r="M307" s="4"/>
      <c r="N307" s="4"/>
      <c r="O307" s="4"/>
      <c r="P307" s="4"/>
      <c r="Q307" s="4"/>
      <c r="R307" s="4"/>
      <c r="S307" s="4"/>
      <c r="T307" s="4"/>
      <c r="U307" s="4"/>
    </row>
    <row r="308" spans="1:21" ht="15.75" x14ac:dyDescent="0.25">
      <c r="A308" s="2" t="s">
        <v>736</v>
      </c>
      <c r="C308" s="13">
        <v>3</v>
      </c>
      <c r="D308" s="13" t="s">
        <v>693</v>
      </c>
      <c r="E308" s="7" t="s">
        <v>384</v>
      </c>
      <c r="F308" s="5" t="s">
        <v>701</v>
      </c>
      <c r="G308" s="1"/>
      <c r="I308" s="7">
        <v>129</v>
      </c>
      <c r="J308" s="105" t="s">
        <v>8</v>
      </c>
      <c r="L308" s="4"/>
      <c r="M308" s="4"/>
      <c r="N308" s="4"/>
      <c r="O308" s="4"/>
      <c r="P308" s="4"/>
      <c r="Q308" s="4"/>
      <c r="R308" s="4"/>
      <c r="S308" s="4"/>
      <c r="T308" s="4"/>
      <c r="U308" s="4"/>
    </row>
    <row r="309" spans="1:21" x14ac:dyDescent="0.2">
      <c r="C309" s="13">
        <v>4</v>
      </c>
      <c r="D309" s="13" t="s">
        <v>694</v>
      </c>
      <c r="E309" s="7" t="s">
        <v>689</v>
      </c>
      <c r="F309" s="5" t="s">
        <v>702</v>
      </c>
      <c r="G309" s="1"/>
      <c r="I309" s="7">
        <v>277</v>
      </c>
      <c r="J309" s="105" t="s">
        <v>8</v>
      </c>
      <c r="L309" s="4"/>
      <c r="M309" s="4"/>
      <c r="N309" s="4"/>
      <c r="O309" s="4"/>
      <c r="P309" s="4"/>
      <c r="Q309" s="4"/>
      <c r="R309" s="4"/>
      <c r="S309" s="4"/>
      <c r="T309" s="4"/>
      <c r="U309" s="4"/>
    </row>
    <row r="310" spans="1:21" x14ac:dyDescent="0.2">
      <c r="C310" s="13">
        <v>5</v>
      </c>
      <c r="D310" s="13" t="s">
        <v>695</v>
      </c>
      <c r="E310" s="7" t="s">
        <v>689</v>
      </c>
      <c r="F310" s="5" t="s">
        <v>703</v>
      </c>
      <c r="G310" s="1"/>
      <c r="I310" s="7">
        <v>200</v>
      </c>
      <c r="J310" s="105" t="s">
        <v>8</v>
      </c>
      <c r="L310" s="4"/>
      <c r="M310" s="4"/>
      <c r="N310" s="4"/>
      <c r="O310" s="4"/>
      <c r="P310" s="4"/>
      <c r="Q310" s="4"/>
      <c r="R310" s="4"/>
      <c r="S310" s="4"/>
      <c r="T310" s="4"/>
      <c r="U310" s="4"/>
    </row>
    <row r="311" spans="1:21" x14ac:dyDescent="0.2">
      <c r="C311" s="13">
        <v>6</v>
      </c>
      <c r="D311" s="13" t="s">
        <v>697</v>
      </c>
      <c r="E311" s="7" t="s">
        <v>384</v>
      </c>
      <c r="F311" s="5" t="s">
        <v>704</v>
      </c>
      <c r="G311" s="1"/>
      <c r="I311" s="7">
        <v>148</v>
      </c>
      <c r="J311" s="105" t="s">
        <v>8</v>
      </c>
      <c r="L311" s="4"/>
      <c r="M311" s="4"/>
      <c r="N311" s="4"/>
      <c r="O311" s="4"/>
      <c r="P311" s="4"/>
      <c r="Q311" s="4"/>
      <c r="R311" s="4"/>
      <c r="S311" s="4"/>
      <c r="T311" s="4"/>
      <c r="U311" s="4"/>
    </row>
    <row r="312" spans="1:21" x14ac:dyDescent="0.2">
      <c r="C312" s="13">
        <v>7</v>
      </c>
      <c r="D312" s="13" t="s">
        <v>696</v>
      </c>
      <c r="E312" s="7" t="s">
        <v>689</v>
      </c>
      <c r="F312" s="5" t="s">
        <v>705</v>
      </c>
      <c r="G312" s="1"/>
      <c r="I312" s="7">
        <v>271</v>
      </c>
      <c r="J312" s="105" t="s">
        <v>8</v>
      </c>
      <c r="L312" s="4"/>
      <c r="M312" s="4"/>
      <c r="N312" s="4"/>
      <c r="O312" s="4"/>
      <c r="P312" s="4"/>
      <c r="Q312" s="4"/>
      <c r="R312" s="4"/>
      <c r="S312" s="4"/>
      <c r="T312" s="4"/>
      <c r="U312" s="4"/>
    </row>
    <row r="313" spans="1:21" x14ac:dyDescent="0.2">
      <c r="C313" s="13">
        <v>8</v>
      </c>
      <c r="D313" s="13" t="s">
        <v>524</v>
      </c>
      <c r="E313" s="7" t="s">
        <v>689</v>
      </c>
      <c r="F313" s="5" t="s">
        <v>706</v>
      </c>
      <c r="G313" s="1"/>
      <c r="I313" s="7">
        <v>209</v>
      </c>
      <c r="J313" s="105" t="s">
        <v>8</v>
      </c>
      <c r="L313" s="4"/>
      <c r="M313" s="4"/>
      <c r="N313" s="4"/>
      <c r="O313" s="4"/>
      <c r="P313" s="4"/>
      <c r="Q313" s="4"/>
      <c r="R313" s="4"/>
      <c r="S313" s="4"/>
      <c r="T313" s="4"/>
      <c r="U313" s="4"/>
    </row>
    <row r="314" spans="1:21" x14ac:dyDescent="0.2">
      <c r="C314" s="13">
        <v>9</v>
      </c>
      <c r="D314" s="13" t="s">
        <v>698</v>
      </c>
      <c r="E314" s="7" t="s">
        <v>384</v>
      </c>
      <c r="F314" s="5" t="s">
        <v>707</v>
      </c>
      <c r="G314" s="1"/>
      <c r="I314" s="7">
        <v>164</v>
      </c>
      <c r="J314" s="105" t="s">
        <v>8</v>
      </c>
      <c r="L314" s="4"/>
      <c r="M314" s="4"/>
      <c r="N314" s="4"/>
      <c r="O314" s="4"/>
      <c r="P314" s="4"/>
      <c r="Q314" s="4"/>
      <c r="R314" s="4"/>
      <c r="S314" s="4"/>
      <c r="T314" s="4"/>
      <c r="U314" s="4"/>
    </row>
    <row r="315" spans="1:21" ht="15.75" x14ac:dyDescent="0.25">
      <c r="G315" s="3"/>
      <c r="H315" s="4"/>
      <c r="I315" s="151" t="s">
        <v>731</v>
      </c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</row>
    <row r="316" spans="1:21" x14ac:dyDescent="0.2"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</row>
    <row r="317" spans="1:21" x14ac:dyDescent="0.2">
      <c r="G317" s="3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</row>
    <row r="318" spans="1:21" x14ac:dyDescent="0.2">
      <c r="G318" s="3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</row>
    <row r="319" spans="1:21" x14ac:dyDescent="0.2">
      <c r="G319" s="3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</row>
    <row r="320" spans="1:21" x14ac:dyDescent="0.2">
      <c r="G320" s="3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</row>
    <row r="321" spans="1:21" x14ac:dyDescent="0.2">
      <c r="G321" s="3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</row>
    <row r="322" spans="1:21" x14ac:dyDescent="0.2">
      <c r="G322" s="3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</row>
    <row r="323" spans="1:21" x14ac:dyDescent="0.2">
      <c r="G323" s="3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</row>
    <row r="324" spans="1:21" x14ac:dyDescent="0.2">
      <c r="G324" s="3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</row>
    <row r="325" spans="1:21" x14ac:dyDescent="0.2">
      <c r="G325" s="3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</row>
    <row r="326" spans="1:21" x14ac:dyDescent="0.2">
      <c r="G326" s="3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</row>
    <row r="327" spans="1:21" x14ac:dyDescent="0.2">
      <c r="G327" s="3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</row>
    <row r="328" spans="1:21" ht="15.75" x14ac:dyDescent="0.25">
      <c r="A328" s="15" t="s">
        <v>384</v>
      </c>
      <c r="B328" s="2" t="s">
        <v>454</v>
      </c>
      <c r="C328" s="12"/>
      <c r="D328" s="12"/>
      <c r="G328" s="3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</row>
    <row r="329" spans="1:21" ht="16.5" thickBot="1" x14ac:dyDescent="0.3">
      <c r="B329" s="20" t="s">
        <v>38</v>
      </c>
      <c r="C329" s="13"/>
      <c r="D329" s="13"/>
      <c r="G329" s="3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</row>
    <row r="330" spans="1:21" ht="15.75" x14ac:dyDescent="0.25">
      <c r="A330" s="15" t="s">
        <v>455</v>
      </c>
      <c r="B330" s="66">
        <v>90</v>
      </c>
      <c r="G330" s="3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ht="15.75" x14ac:dyDescent="0.25">
      <c r="A331" s="15" t="s">
        <v>456</v>
      </c>
      <c r="B331" s="46">
        <v>9.1</v>
      </c>
      <c r="E331" s="13"/>
      <c r="G331" s="3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ht="15.75" x14ac:dyDescent="0.25">
      <c r="A332" s="15" t="s">
        <v>457</v>
      </c>
      <c r="B332" s="46">
        <v>2</v>
      </c>
      <c r="E332" s="13"/>
      <c r="G332" s="3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</row>
    <row r="333" spans="1:21" ht="16.5" thickBot="1" x14ac:dyDescent="0.3">
      <c r="A333" s="15" t="s">
        <v>458</v>
      </c>
      <c r="B333" s="67">
        <v>1.5</v>
      </c>
      <c r="G333" s="3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</row>
    <row r="334" spans="1:21" x14ac:dyDescent="0.2">
      <c r="G334" s="3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</row>
    <row r="335" spans="1:21" x14ac:dyDescent="0.2">
      <c r="G335" s="3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</row>
    <row r="336" spans="1:21" x14ac:dyDescent="0.2">
      <c r="G336" s="3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</row>
    <row r="337" spans="1:21" x14ac:dyDescent="0.2">
      <c r="F337" s="13"/>
      <c r="G337" s="3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</row>
    <row r="338" spans="1:21" x14ac:dyDescent="0.2">
      <c r="F338" s="13"/>
      <c r="G338" s="3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</row>
    <row r="339" spans="1:21" x14ac:dyDescent="0.2">
      <c r="C339" s="16"/>
      <c r="D339" s="16"/>
      <c r="E339" s="16"/>
      <c r="F339" s="16"/>
      <c r="G339" s="3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</row>
    <row r="340" spans="1:21" x14ac:dyDescent="0.2">
      <c r="B340" s="13"/>
      <c r="C340" s="13"/>
      <c r="D340" s="13"/>
      <c r="E340" s="13"/>
      <c r="F340" s="13"/>
      <c r="G340" s="3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</row>
    <row r="341" spans="1:21" x14ac:dyDescent="0.2">
      <c r="B341" s="16"/>
      <c r="C341" s="16"/>
      <c r="D341" s="16"/>
      <c r="E341" s="16"/>
      <c r="F341" s="16"/>
      <c r="G341" s="3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</row>
    <row r="342" spans="1:21" x14ac:dyDescent="0.2">
      <c r="B342" s="68"/>
      <c r="C342" s="68"/>
      <c r="D342" s="68"/>
      <c r="E342" s="68"/>
      <c r="F342" s="68"/>
      <c r="G342" s="3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</row>
    <row r="343" spans="1:21" x14ac:dyDescent="0.2">
      <c r="B343" s="16"/>
      <c r="C343" s="16"/>
      <c r="D343" s="16"/>
      <c r="E343" s="16"/>
      <c r="F343" s="16"/>
      <c r="G343" s="3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</row>
    <row r="344" spans="1:21" x14ac:dyDescent="0.2">
      <c r="B344" s="68"/>
      <c r="C344" s="68"/>
      <c r="D344" s="68"/>
      <c r="E344" s="68"/>
      <c r="F344" s="68"/>
      <c r="G344" s="3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</row>
    <row r="345" spans="1:21" x14ac:dyDescent="0.2">
      <c r="B345" s="68"/>
      <c r="C345" s="68"/>
      <c r="D345" s="68"/>
      <c r="E345" s="68"/>
      <c r="F345" s="68"/>
      <c r="G345" s="3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</row>
    <row r="346" spans="1:21" ht="15.75" x14ac:dyDescent="0.25">
      <c r="A346" s="15" t="s">
        <v>384</v>
      </c>
      <c r="B346" s="2" t="s">
        <v>459</v>
      </c>
      <c r="G346" s="3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</row>
    <row r="347" spans="1:21" x14ac:dyDescent="0.2">
      <c r="G347" s="3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</row>
    <row r="348" spans="1:21" x14ac:dyDescent="0.2">
      <c r="G348" s="3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</row>
    <row r="349" spans="1:21" x14ac:dyDescent="0.2">
      <c r="G349" s="3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</row>
    <row r="350" spans="1:21" ht="15.75" x14ac:dyDescent="0.25">
      <c r="F350" s="12"/>
      <c r="G350" s="3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</row>
    <row r="351" spans="1:21" x14ac:dyDescent="0.2">
      <c r="G351" s="3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</row>
    <row r="352" spans="1:21" x14ac:dyDescent="0.2">
      <c r="G352" s="3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</row>
    <row r="353" spans="1:21" ht="15.75" x14ac:dyDescent="0.25">
      <c r="C353" s="12"/>
      <c r="D353" s="12"/>
      <c r="G353" s="3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</row>
    <row r="354" spans="1:21" x14ac:dyDescent="0.2">
      <c r="G354" s="3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</row>
    <row r="355" spans="1:21" x14ac:dyDescent="0.2">
      <c r="G355" s="3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</row>
    <row r="356" spans="1:21" x14ac:dyDescent="0.2">
      <c r="G356" s="3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</row>
    <row r="357" spans="1:21" ht="15.75" x14ac:dyDescent="0.25">
      <c r="A357" s="15" t="s">
        <v>384</v>
      </c>
      <c r="B357" s="2" t="s">
        <v>460</v>
      </c>
      <c r="C357" s="12"/>
      <c r="D357" s="12"/>
      <c r="G357" s="3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</row>
    <row r="358" spans="1:21" x14ac:dyDescent="0.2">
      <c r="G358" s="3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</row>
    <row r="359" spans="1:21" x14ac:dyDescent="0.2">
      <c r="G359" s="3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x14ac:dyDescent="0.2">
      <c r="G360" s="3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x14ac:dyDescent="0.2">
      <c r="G361" s="3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</row>
    <row r="362" spans="1:21" x14ac:dyDescent="0.2">
      <c r="G362" s="3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</row>
    <row r="363" spans="1:21" x14ac:dyDescent="0.2">
      <c r="G363" s="3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</row>
    <row r="364" spans="1:21" x14ac:dyDescent="0.2">
      <c r="G364" s="3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</row>
    <row r="365" spans="1:21" x14ac:dyDescent="0.2">
      <c r="G365" s="3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</row>
    <row r="366" spans="1:21" x14ac:dyDescent="0.2">
      <c r="G366" s="3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</row>
    <row r="367" spans="1:21" x14ac:dyDescent="0.2">
      <c r="G367" s="3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</row>
    <row r="368" spans="1:21" x14ac:dyDescent="0.2">
      <c r="G368" s="3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</row>
    <row r="369" spans="1:21" ht="15.75" x14ac:dyDescent="0.25">
      <c r="A369" s="15" t="s">
        <v>384</v>
      </c>
      <c r="B369" s="33" t="s">
        <v>461</v>
      </c>
      <c r="G369" s="3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</row>
    <row r="370" spans="1:21" x14ac:dyDescent="0.2">
      <c r="G370" s="3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</row>
    <row r="371" spans="1:21" ht="15.75" x14ac:dyDescent="0.25">
      <c r="B371" s="69" t="s">
        <v>462</v>
      </c>
      <c r="G371" s="3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</row>
    <row r="372" spans="1:21" x14ac:dyDescent="0.2">
      <c r="G372" s="3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</row>
    <row r="373" spans="1:21" x14ac:dyDescent="0.2">
      <c r="G373" s="3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</row>
    <row r="374" spans="1:21" x14ac:dyDescent="0.2">
      <c r="B374" s="1" t="s">
        <v>688</v>
      </c>
      <c r="G374" s="3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</row>
    <row r="375" spans="1:21" x14ac:dyDescent="0.2">
      <c r="G375" s="3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</row>
    <row r="376" spans="1:21" x14ac:dyDescent="0.2">
      <c r="G376" s="3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</row>
    <row r="377" spans="1:21" x14ac:dyDescent="0.2">
      <c r="G377" s="3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</row>
    <row r="378" spans="1:21" x14ac:dyDescent="0.2">
      <c r="G378" s="3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</row>
    <row r="379" spans="1:21" x14ac:dyDescent="0.2">
      <c r="G379" s="3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</row>
    <row r="380" spans="1:21" x14ac:dyDescent="0.2">
      <c r="G380" s="3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</row>
    <row r="381" spans="1:21" ht="15.75" x14ac:dyDescent="0.25">
      <c r="A381" s="2"/>
      <c r="G381" s="3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</row>
    <row r="382" spans="1:21" x14ac:dyDescent="0.2">
      <c r="G382" s="3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</row>
    <row r="383" spans="1:21" x14ac:dyDescent="0.2">
      <c r="G383" s="3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</row>
    <row r="384" spans="1:21" x14ac:dyDescent="0.2">
      <c r="G384" s="3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</row>
    <row r="385" spans="1:21" ht="15.75" x14ac:dyDescent="0.25">
      <c r="C385" s="12"/>
      <c r="G385" s="3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</row>
    <row r="386" spans="1:21" x14ac:dyDescent="0.2">
      <c r="G386" s="3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</row>
    <row r="387" spans="1:21" x14ac:dyDescent="0.2">
      <c r="G387" s="3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</row>
    <row r="388" spans="1:21" x14ac:dyDescent="0.2">
      <c r="G388" s="3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</row>
    <row r="389" spans="1:21" x14ac:dyDescent="0.2">
      <c r="G389" s="3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</row>
    <row r="390" spans="1:21" x14ac:dyDescent="0.2">
      <c r="L390" s="4"/>
      <c r="M390" s="4"/>
      <c r="N390" s="4"/>
      <c r="O390" s="4"/>
      <c r="P390" s="4"/>
      <c r="Q390" s="4"/>
      <c r="R390" s="4"/>
      <c r="S390" s="4"/>
      <c r="T390" s="4"/>
      <c r="U390" s="4"/>
    </row>
    <row r="395" spans="1:21" ht="15.75" x14ac:dyDescent="0.25">
      <c r="A395" s="145"/>
      <c r="B395" s="152"/>
      <c r="C395" s="144"/>
      <c r="D395" s="12"/>
      <c r="G395" s="3"/>
      <c r="H395" s="4"/>
      <c r="I395" s="4"/>
      <c r="J395" s="4"/>
      <c r="K395" s="4"/>
      <c r="L395" s="4"/>
    </row>
    <row r="396" spans="1:21" x14ac:dyDescent="0.2">
      <c r="A396" s="142"/>
      <c r="B396" s="26"/>
      <c r="C396" s="44"/>
      <c r="D396" s="13"/>
      <c r="G396" s="3"/>
      <c r="H396" s="4"/>
      <c r="I396" s="4"/>
      <c r="J396" s="4"/>
      <c r="K396" s="4"/>
      <c r="L396" s="4"/>
    </row>
    <row r="397" spans="1:21" x14ac:dyDescent="0.2">
      <c r="A397" s="142"/>
      <c r="B397" s="26"/>
      <c r="C397" s="44"/>
      <c r="D397" s="13"/>
      <c r="G397" s="3"/>
      <c r="H397" s="4"/>
      <c r="I397" s="4"/>
      <c r="J397" s="4"/>
      <c r="K397" s="4"/>
      <c r="L397" s="4"/>
    </row>
    <row r="398" spans="1:21" x14ac:dyDescent="0.2">
      <c r="A398" s="142"/>
      <c r="B398" s="26"/>
      <c r="C398" s="44"/>
      <c r="D398" s="13"/>
      <c r="G398" s="3"/>
      <c r="H398" s="4"/>
      <c r="I398" s="4"/>
      <c r="J398" s="4"/>
      <c r="K398" s="4"/>
      <c r="L398" s="4"/>
    </row>
    <row r="399" spans="1:21" x14ac:dyDescent="0.2">
      <c r="A399" s="142"/>
      <c r="B399" s="74"/>
      <c r="C399" s="74"/>
      <c r="G399" s="3"/>
      <c r="H399" s="4"/>
      <c r="I399" s="4"/>
      <c r="J399" s="4"/>
      <c r="K399" s="4"/>
      <c r="L399" s="4"/>
    </row>
    <row r="400" spans="1:21" x14ac:dyDescent="0.2">
      <c r="A400" s="142"/>
      <c r="B400" s="74"/>
      <c r="C400" s="74"/>
      <c r="G400" s="3"/>
      <c r="H400" s="4"/>
      <c r="I400" s="4"/>
      <c r="J400" s="4"/>
      <c r="K400" s="4"/>
      <c r="L400" s="4"/>
    </row>
    <row r="401" spans="1:12" x14ac:dyDescent="0.2">
      <c r="B401" s="13"/>
      <c r="G401" s="3"/>
      <c r="H401" s="4"/>
      <c r="I401" s="4"/>
      <c r="J401" s="4"/>
      <c r="K401" s="4"/>
      <c r="L401" s="4"/>
    </row>
    <row r="402" spans="1:12" x14ac:dyDescent="0.2">
      <c r="B402" s="13"/>
      <c r="G402" s="3"/>
      <c r="H402" s="4"/>
      <c r="I402" s="4"/>
      <c r="J402" s="4"/>
      <c r="K402" s="4"/>
      <c r="L402" s="4"/>
    </row>
    <row r="403" spans="1:12" x14ac:dyDescent="0.2">
      <c r="B403" s="13"/>
      <c r="G403" s="3"/>
      <c r="H403" s="4"/>
      <c r="I403" s="4"/>
      <c r="J403" s="4"/>
      <c r="K403" s="4"/>
      <c r="L403" s="4"/>
    </row>
    <row r="404" spans="1:12" x14ac:dyDescent="0.2">
      <c r="B404" s="13"/>
      <c r="G404" s="3"/>
      <c r="H404" s="4"/>
      <c r="I404" s="4"/>
      <c r="J404" s="4"/>
      <c r="K404" s="4"/>
      <c r="L404" s="4"/>
    </row>
    <row r="405" spans="1:12" x14ac:dyDescent="0.2">
      <c r="B405" s="13"/>
      <c r="G405" s="3"/>
      <c r="H405" s="4"/>
      <c r="I405" s="4"/>
      <c r="J405" s="4"/>
      <c r="K405" s="4"/>
      <c r="L405" s="4"/>
    </row>
    <row r="406" spans="1:12" x14ac:dyDescent="0.2">
      <c r="G406" s="3"/>
      <c r="H406" s="4"/>
      <c r="I406" s="4"/>
      <c r="J406" s="4"/>
      <c r="K406" s="4"/>
      <c r="L406" s="4"/>
    </row>
    <row r="407" spans="1:12" ht="15.75" x14ac:dyDescent="0.25">
      <c r="A407" s="15"/>
      <c r="B407" s="20"/>
      <c r="F407" s="12"/>
      <c r="G407" s="3"/>
      <c r="H407" s="4"/>
      <c r="I407" s="4"/>
      <c r="J407" s="4"/>
      <c r="K407" s="4"/>
      <c r="L407" s="4"/>
    </row>
    <row r="408" spans="1:12" ht="15.75" x14ac:dyDescent="0.25">
      <c r="A408" s="15"/>
      <c r="B408" s="12"/>
      <c r="G408" s="3"/>
      <c r="H408" s="4"/>
      <c r="I408" s="4"/>
      <c r="J408" s="4"/>
      <c r="K408" s="4"/>
      <c r="L408" s="4"/>
    </row>
    <row r="409" spans="1:12" ht="15.75" x14ac:dyDescent="0.25">
      <c r="A409" s="15"/>
      <c r="B409" s="23"/>
      <c r="C409" s="12"/>
      <c r="G409" s="3"/>
      <c r="H409" s="4"/>
      <c r="I409" s="4"/>
      <c r="J409" s="4"/>
      <c r="K409" s="4"/>
      <c r="L409" s="4"/>
    </row>
    <row r="410" spans="1:12" x14ac:dyDescent="0.2">
      <c r="G410" s="3"/>
      <c r="H410" s="4"/>
      <c r="I410" s="4"/>
      <c r="J410" s="4"/>
      <c r="K410" s="4"/>
      <c r="L410" s="4"/>
    </row>
    <row r="411" spans="1:12" x14ac:dyDescent="0.2">
      <c r="G411" s="3"/>
      <c r="H411" s="4"/>
      <c r="I411" s="4"/>
      <c r="J411" s="4"/>
      <c r="K411" s="4"/>
      <c r="L411" s="4"/>
    </row>
    <row r="412" spans="1:12" ht="15.75" x14ac:dyDescent="0.25">
      <c r="A412" s="2"/>
      <c r="G412" s="3"/>
      <c r="H412" s="4"/>
      <c r="I412" s="4"/>
      <c r="J412" s="4"/>
      <c r="K412" s="4"/>
      <c r="L412" s="4"/>
    </row>
    <row r="413" spans="1:12" x14ac:dyDescent="0.2">
      <c r="G413" s="3"/>
      <c r="H413" s="4"/>
      <c r="I413" s="4"/>
      <c r="J413" s="4"/>
      <c r="K413" s="4"/>
      <c r="L413" s="4"/>
    </row>
    <row r="414" spans="1:12" x14ac:dyDescent="0.2">
      <c r="G414" s="3"/>
      <c r="H414" s="4"/>
      <c r="I414" s="4"/>
      <c r="J414" s="4"/>
      <c r="K414" s="4"/>
      <c r="L414" s="4"/>
    </row>
    <row r="415" spans="1:12" x14ac:dyDescent="0.2">
      <c r="G415" s="3"/>
      <c r="H415" s="4"/>
      <c r="I415" s="4"/>
      <c r="J415" s="4"/>
      <c r="K415" s="4"/>
      <c r="L415" s="4"/>
    </row>
    <row r="416" spans="1:12" x14ac:dyDescent="0.2">
      <c r="G416" s="3"/>
      <c r="H416" s="4"/>
      <c r="I416" s="4"/>
      <c r="J416" s="4"/>
      <c r="K416" s="4"/>
      <c r="L416" s="4"/>
    </row>
    <row r="417" spans="7:12" x14ac:dyDescent="0.2">
      <c r="G417" s="3"/>
      <c r="H417" s="4"/>
      <c r="I417" s="4"/>
      <c r="J417" s="4"/>
      <c r="K417" s="4"/>
      <c r="L417" s="4"/>
    </row>
    <row r="418" spans="7:12" x14ac:dyDescent="0.2">
      <c r="G418" s="3"/>
      <c r="H418" s="4"/>
      <c r="I418" s="4"/>
      <c r="J418" s="4"/>
      <c r="K418" s="4"/>
      <c r="L418" s="4"/>
    </row>
    <row r="419" spans="7:12" x14ac:dyDescent="0.2">
      <c r="J419" s="4"/>
      <c r="K419" s="4"/>
      <c r="L419" s="4"/>
    </row>
    <row r="420" spans="7:12" x14ac:dyDescent="0.2">
      <c r="J420" s="4"/>
      <c r="K420" s="4"/>
      <c r="L420" s="4"/>
    </row>
    <row r="421" spans="7:12" x14ac:dyDescent="0.2">
      <c r="J421" s="4"/>
      <c r="K421" s="4"/>
      <c r="L421" s="4"/>
    </row>
    <row r="422" spans="7:12" x14ac:dyDescent="0.2">
      <c r="J422" s="4"/>
      <c r="K422" s="4"/>
      <c r="L422" s="4"/>
    </row>
    <row r="423" spans="7:12" x14ac:dyDescent="0.2">
      <c r="J423" s="4"/>
      <c r="K423" s="4"/>
      <c r="L423" s="4"/>
    </row>
    <row r="424" spans="7:12" x14ac:dyDescent="0.2">
      <c r="J424" s="4"/>
      <c r="K424" s="4"/>
      <c r="L424" s="4"/>
    </row>
    <row r="425" spans="7:12" x14ac:dyDescent="0.2">
      <c r="J425" s="4"/>
      <c r="K425" s="4"/>
      <c r="L425" s="4"/>
    </row>
    <row r="426" spans="7:12" x14ac:dyDescent="0.2">
      <c r="J426" s="4"/>
      <c r="K426" s="4"/>
      <c r="L426" s="4"/>
    </row>
    <row r="427" spans="7:12" x14ac:dyDescent="0.2">
      <c r="L427" s="4"/>
    </row>
    <row r="428" spans="7:12" x14ac:dyDescent="0.2">
      <c r="L428" s="4"/>
    </row>
    <row r="429" spans="7:12" x14ac:dyDescent="0.2">
      <c r="L429" s="4"/>
    </row>
    <row r="430" spans="7:12" x14ac:dyDescent="0.2">
      <c r="L430" s="4"/>
    </row>
    <row r="431" spans="7:12" x14ac:dyDescent="0.2">
      <c r="L431" s="4"/>
    </row>
    <row r="432" spans="7:12" x14ac:dyDescent="0.2">
      <c r="L432" s="4"/>
    </row>
    <row r="433" spans="12:12" x14ac:dyDescent="0.2">
      <c r="L433" s="4"/>
    </row>
    <row r="434" spans="12:12" x14ac:dyDescent="0.2">
      <c r="L434" s="4"/>
    </row>
    <row r="435" spans="12:12" x14ac:dyDescent="0.2">
      <c r="L435" s="4"/>
    </row>
    <row r="436" spans="12:12" x14ac:dyDescent="0.2">
      <c r="L436" s="4"/>
    </row>
    <row r="437" spans="12:12" x14ac:dyDescent="0.2">
      <c r="L437" s="4"/>
    </row>
    <row r="438" spans="12:12" x14ac:dyDescent="0.2">
      <c r="L438" s="4"/>
    </row>
    <row r="439" spans="12:12" x14ac:dyDescent="0.2">
      <c r="L439" s="4"/>
    </row>
    <row r="440" spans="12:12" x14ac:dyDescent="0.2">
      <c r="L440" s="4"/>
    </row>
    <row r="441" spans="12:12" x14ac:dyDescent="0.2">
      <c r="L441" s="4"/>
    </row>
    <row r="442" spans="12:12" x14ac:dyDescent="0.2">
      <c r="L442" s="4"/>
    </row>
    <row r="443" spans="12:12" x14ac:dyDescent="0.2">
      <c r="L443" s="4"/>
    </row>
    <row r="444" spans="12:12" x14ac:dyDescent="0.2">
      <c r="L444" s="4"/>
    </row>
    <row r="445" spans="12:12" x14ac:dyDescent="0.2">
      <c r="L445" s="4"/>
    </row>
    <row r="446" spans="12:12" x14ac:dyDescent="0.2">
      <c r="L446" s="4"/>
    </row>
    <row r="447" spans="12:12" x14ac:dyDescent="0.2">
      <c r="L447" s="4"/>
    </row>
    <row r="448" spans="12:12" x14ac:dyDescent="0.2">
      <c r="L448" s="4"/>
    </row>
    <row r="449" spans="12:12" x14ac:dyDescent="0.2">
      <c r="L449" s="4"/>
    </row>
    <row r="450" spans="12:12" x14ac:dyDescent="0.2">
      <c r="L450" s="4"/>
    </row>
    <row r="451" spans="12:12" x14ac:dyDescent="0.2">
      <c r="L451" s="4"/>
    </row>
    <row r="452" spans="12:12" x14ac:dyDescent="0.2">
      <c r="L452" s="4"/>
    </row>
    <row r="453" spans="12:12" x14ac:dyDescent="0.2">
      <c r="L453" s="4"/>
    </row>
    <row r="454" spans="12:12" x14ac:dyDescent="0.2">
      <c r="L454" s="4"/>
    </row>
    <row r="455" spans="12:12" x14ac:dyDescent="0.2">
      <c r="L455" s="4"/>
    </row>
    <row r="456" spans="12:12" x14ac:dyDescent="0.2">
      <c r="L456" s="4"/>
    </row>
    <row r="457" spans="12:12" x14ac:dyDescent="0.2">
      <c r="L457" s="4"/>
    </row>
    <row r="458" spans="12:12" x14ac:dyDescent="0.2">
      <c r="L458" s="4"/>
    </row>
    <row r="459" spans="12:12" x14ac:dyDescent="0.2">
      <c r="L459" s="4"/>
    </row>
    <row r="460" spans="12:12" x14ac:dyDescent="0.2">
      <c r="L460" s="4"/>
    </row>
    <row r="461" spans="12:12" x14ac:dyDescent="0.2">
      <c r="L461" s="4"/>
    </row>
    <row r="462" spans="12:12" x14ac:dyDescent="0.2">
      <c r="L462" s="4"/>
    </row>
    <row r="463" spans="12:12" x14ac:dyDescent="0.2">
      <c r="L463" s="4"/>
    </row>
    <row r="464" spans="12:12" x14ac:dyDescent="0.2">
      <c r="L464" s="4"/>
    </row>
    <row r="465" spans="12:12" x14ac:dyDescent="0.2">
      <c r="L465" s="4"/>
    </row>
    <row r="466" spans="12:12" x14ac:dyDescent="0.2">
      <c r="L466" s="4"/>
    </row>
    <row r="467" spans="12:12" x14ac:dyDescent="0.2">
      <c r="L467" s="4"/>
    </row>
    <row r="468" spans="12:12" x14ac:dyDescent="0.2">
      <c r="L468" s="4"/>
    </row>
    <row r="469" spans="12:12" x14ac:dyDescent="0.2">
      <c r="L469" s="4"/>
    </row>
    <row r="470" spans="12:12" x14ac:dyDescent="0.2">
      <c r="L470" s="4"/>
    </row>
    <row r="471" spans="12:12" x14ac:dyDescent="0.2">
      <c r="L471" s="4"/>
    </row>
    <row r="472" spans="12:12" x14ac:dyDescent="0.2">
      <c r="L472" s="4"/>
    </row>
    <row r="473" spans="12:12" x14ac:dyDescent="0.2">
      <c r="L473" s="4"/>
    </row>
    <row r="474" spans="12:12" x14ac:dyDescent="0.2">
      <c r="L474" s="4"/>
    </row>
    <row r="475" spans="12:12" x14ac:dyDescent="0.2">
      <c r="L475" s="4"/>
    </row>
    <row r="476" spans="12:12" x14ac:dyDescent="0.2">
      <c r="L476" s="4"/>
    </row>
    <row r="477" spans="12:12" x14ac:dyDescent="0.2">
      <c r="L477" s="4"/>
    </row>
    <row r="478" spans="12:12" x14ac:dyDescent="0.2">
      <c r="L478" s="4"/>
    </row>
    <row r="479" spans="12:12" x14ac:dyDescent="0.2">
      <c r="L479" s="4"/>
    </row>
    <row r="480" spans="12:12" x14ac:dyDescent="0.2">
      <c r="L480" s="4"/>
    </row>
    <row r="481" spans="12:12" x14ac:dyDescent="0.2">
      <c r="L481" s="4"/>
    </row>
    <row r="482" spans="12:12" x14ac:dyDescent="0.2">
      <c r="L482" s="4"/>
    </row>
    <row r="483" spans="12:12" x14ac:dyDescent="0.2">
      <c r="L483" s="4"/>
    </row>
    <row r="484" spans="12:12" x14ac:dyDescent="0.2">
      <c r="L484" s="4"/>
    </row>
    <row r="485" spans="12:12" x14ac:dyDescent="0.2">
      <c r="L485" s="4"/>
    </row>
    <row r="486" spans="12:12" x14ac:dyDescent="0.2">
      <c r="L486" s="4"/>
    </row>
    <row r="487" spans="12:12" x14ac:dyDescent="0.2">
      <c r="L487" s="4"/>
    </row>
    <row r="488" spans="12:12" x14ac:dyDescent="0.2">
      <c r="L488" s="4"/>
    </row>
    <row r="489" spans="12:12" x14ac:dyDescent="0.2">
      <c r="L489" s="4"/>
    </row>
    <row r="490" spans="12:12" x14ac:dyDescent="0.2">
      <c r="L490" s="4"/>
    </row>
    <row r="491" spans="12:12" x14ac:dyDescent="0.2">
      <c r="L491" s="4"/>
    </row>
    <row r="492" spans="12:12" x14ac:dyDescent="0.2">
      <c r="L492" s="4"/>
    </row>
    <row r="493" spans="12:12" x14ac:dyDescent="0.2">
      <c r="L493" s="4"/>
    </row>
    <row r="494" spans="12:12" x14ac:dyDescent="0.2">
      <c r="L494" s="4"/>
    </row>
    <row r="495" spans="12:12" x14ac:dyDescent="0.2">
      <c r="L495" s="4"/>
    </row>
    <row r="496" spans="12:12" x14ac:dyDescent="0.2">
      <c r="L496" s="4"/>
    </row>
    <row r="497" spans="12:12" x14ac:dyDescent="0.2">
      <c r="L497" s="4"/>
    </row>
    <row r="498" spans="12:12" x14ac:dyDescent="0.2">
      <c r="L498" s="4"/>
    </row>
    <row r="499" spans="12:12" x14ac:dyDescent="0.2">
      <c r="L499" s="4"/>
    </row>
    <row r="500" spans="12:12" x14ac:dyDescent="0.2">
      <c r="L500" s="4"/>
    </row>
    <row r="501" spans="12:12" x14ac:dyDescent="0.2">
      <c r="L501" s="4"/>
    </row>
    <row r="502" spans="12:12" x14ac:dyDescent="0.2">
      <c r="L502" s="4"/>
    </row>
    <row r="503" spans="12:12" x14ac:dyDescent="0.2">
      <c r="L503" s="4"/>
    </row>
    <row r="504" spans="12:12" x14ac:dyDescent="0.2">
      <c r="L504" s="4"/>
    </row>
    <row r="505" spans="12:12" x14ac:dyDescent="0.2">
      <c r="L505" s="4"/>
    </row>
    <row r="506" spans="12:12" x14ac:dyDescent="0.2">
      <c r="L506" s="4"/>
    </row>
    <row r="507" spans="12:12" x14ac:dyDescent="0.2">
      <c r="L507" s="4"/>
    </row>
    <row r="508" spans="12:12" x14ac:dyDescent="0.2">
      <c r="L508" s="4"/>
    </row>
    <row r="509" spans="12:12" x14ac:dyDescent="0.2">
      <c r="L509" s="4"/>
    </row>
    <row r="510" spans="12:12" x14ac:dyDescent="0.2">
      <c r="L510" s="4"/>
    </row>
    <row r="511" spans="12:12" x14ac:dyDescent="0.2">
      <c r="L511" s="4"/>
    </row>
    <row r="512" spans="12:12" x14ac:dyDescent="0.2">
      <c r="L512" s="4"/>
    </row>
    <row r="513" spans="7:12" x14ac:dyDescent="0.2">
      <c r="L513" s="4"/>
    </row>
    <row r="514" spans="7:12" x14ac:dyDescent="0.2">
      <c r="L514" s="4"/>
    </row>
    <row r="515" spans="7:12" x14ac:dyDescent="0.2">
      <c r="L515" s="4"/>
    </row>
    <row r="516" spans="7:12" x14ac:dyDescent="0.2">
      <c r="L516" s="4"/>
    </row>
    <row r="517" spans="7:12" x14ac:dyDescent="0.2">
      <c r="G517" s="3"/>
      <c r="H517" s="4"/>
      <c r="I517" s="4"/>
      <c r="J517" s="4"/>
      <c r="K517" s="4"/>
      <c r="L517" s="4"/>
    </row>
    <row r="518" spans="7:12" x14ac:dyDescent="0.2">
      <c r="G518" s="3"/>
      <c r="H518" s="4"/>
      <c r="I518" s="4"/>
      <c r="J518" s="4"/>
      <c r="K518" s="4"/>
      <c r="L518" s="4"/>
    </row>
    <row r="519" spans="7:12" x14ac:dyDescent="0.2">
      <c r="G519" s="3"/>
      <c r="H519" s="4"/>
      <c r="I519" s="4"/>
      <c r="J519" s="4"/>
      <c r="K519" s="4"/>
      <c r="L519" s="4"/>
    </row>
    <row r="520" spans="7:12" x14ac:dyDescent="0.2">
      <c r="G520" s="3"/>
      <c r="H520" s="4"/>
      <c r="I520" s="4"/>
      <c r="J520" s="4"/>
      <c r="K520" s="4"/>
      <c r="L520" s="4"/>
    </row>
    <row r="521" spans="7:12" x14ac:dyDescent="0.2">
      <c r="G521" s="3"/>
      <c r="H521" s="4"/>
      <c r="I521" s="4"/>
      <c r="J521" s="4"/>
      <c r="K521" s="4"/>
      <c r="L521" s="4"/>
    </row>
    <row r="522" spans="7:12" x14ac:dyDescent="0.2">
      <c r="G522" s="3"/>
      <c r="H522" s="4"/>
      <c r="I522" s="4"/>
      <c r="J522" s="4"/>
      <c r="K522" s="4"/>
      <c r="L522" s="4"/>
    </row>
    <row r="523" spans="7:12" x14ac:dyDescent="0.2">
      <c r="G523" s="3"/>
      <c r="H523" s="4"/>
      <c r="I523" s="4"/>
      <c r="J523" s="4"/>
      <c r="K523" s="4"/>
      <c r="L523" s="4"/>
    </row>
    <row r="524" spans="7:12" x14ac:dyDescent="0.2">
      <c r="G524" s="3"/>
      <c r="H524" s="4"/>
      <c r="I524" s="4"/>
      <c r="J524" s="4"/>
      <c r="K524" s="4"/>
      <c r="L524" s="4"/>
    </row>
    <row r="525" spans="7:12" x14ac:dyDescent="0.2">
      <c r="G525" s="3"/>
      <c r="H525" s="4"/>
      <c r="I525" s="4"/>
      <c r="J525" s="4"/>
      <c r="K525" s="4"/>
      <c r="L525" s="4"/>
    </row>
    <row r="526" spans="7:12" x14ac:dyDescent="0.2">
      <c r="G526" s="3"/>
      <c r="H526" s="4"/>
      <c r="I526" s="4"/>
      <c r="J526" s="4"/>
      <c r="K526" s="4"/>
      <c r="L526" s="4"/>
    </row>
    <row r="527" spans="7:12" x14ac:dyDescent="0.2">
      <c r="G527" s="3"/>
      <c r="H527" s="4"/>
      <c r="I527" s="4"/>
      <c r="J527" s="4"/>
      <c r="K527" s="4"/>
      <c r="L527" s="4"/>
    </row>
    <row r="528" spans="7:12" x14ac:dyDescent="0.2">
      <c r="G528" s="3"/>
      <c r="H528" s="4"/>
      <c r="I528" s="4"/>
      <c r="J528" s="4"/>
      <c r="K528" s="4"/>
      <c r="L528" s="4"/>
    </row>
    <row r="529" spans="7:12" x14ac:dyDescent="0.2">
      <c r="G529" s="3"/>
      <c r="H529" s="4"/>
      <c r="I529" s="4"/>
      <c r="J529" s="4"/>
      <c r="K529" s="4"/>
      <c r="L529" s="4"/>
    </row>
    <row r="530" spans="7:12" x14ac:dyDescent="0.2">
      <c r="G530" s="3"/>
      <c r="H530" s="4"/>
      <c r="I530" s="4"/>
      <c r="J530" s="4"/>
      <c r="K530" s="4"/>
      <c r="L530" s="4"/>
    </row>
    <row r="531" spans="7:12" x14ac:dyDescent="0.2">
      <c r="G531" s="3"/>
      <c r="H531" s="4"/>
      <c r="I531" s="4"/>
      <c r="J531" s="4"/>
      <c r="K531" s="4"/>
      <c r="L531" s="4"/>
    </row>
    <row r="532" spans="7:12" x14ac:dyDescent="0.2">
      <c r="G532" s="3"/>
      <c r="H532" s="4"/>
      <c r="I532" s="4"/>
      <c r="J532" s="4"/>
      <c r="K532" s="4"/>
      <c r="L532" s="4"/>
    </row>
    <row r="533" spans="7:12" x14ac:dyDescent="0.2">
      <c r="G533" s="3"/>
      <c r="H533" s="4"/>
      <c r="I533" s="4"/>
      <c r="J533" s="4"/>
      <c r="K533" s="4"/>
      <c r="L533" s="4"/>
    </row>
    <row r="534" spans="7:12" x14ac:dyDescent="0.2">
      <c r="G534" s="3"/>
      <c r="H534" s="4"/>
      <c r="I534" s="4"/>
      <c r="J534" s="4"/>
      <c r="K534" s="4"/>
      <c r="L534" s="4"/>
    </row>
    <row r="535" spans="7:12" x14ac:dyDescent="0.2">
      <c r="G535" s="3"/>
      <c r="H535" s="4"/>
      <c r="I535" s="4"/>
      <c r="J535" s="4"/>
      <c r="K535" s="4"/>
      <c r="L535" s="4"/>
    </row>
    <row r="536" spans="7:12" x14ac:dyDescent="0.2">
      <c r="G536" s="3"/>
      <c r="H536" s="4"/>
      <c r="I536" s="4"/>
      <c r="J536" s="4"/>
      <c r="K536" s="4"/>
      <c r="L536" s="4"/>
    </row>
    <row r="537" spans="7:12" x14ac:dyDescent="0.2">
      <c r="G537" s="3"/>
      <c r="H537" s="4"/>
      <c r="I537" s="4"/>
      <c r="J537" s="4"/>
      <c r="K537" s="4"/>
      <c r="L537" s="4"/>
    </row>
    <row r="538" spans="7:12" x14ac:dyDescent="0.2">
      <c r="G538" s="3"/>
      <c r="H538" s="4"/>
      <c r="I538" s="4"/>
      <c r="J538" s="4"/>
      <c r="K538" s="4"/>
      <c r="L538" s="4"/>
    </row>
    <row r="539" spans="7:12" x14ac:dyDescent="0.2">
      <c r="G539" s="3"/>
      <c r="H539" s="4"/>
      <c r="I539" s="4"/>
      <c r="J539" s="4"/>
      <c r="K539" s="4"/>
      <c r="L539" s="4"/>
    </row>
    <row r="540" spans="7:12" x14ac:dyDescent="0.2">
      <c r="G540" s="3"/>
      <c r="H540" s="4"/>
      <c r="I540" s="4"/>
      <c r="J540" s="4"/>
      <c r="K540" s="4"/>
      <c r="L540" s="4"/>
    </row>
    <row r="541" spans="7:12" x14ac:dyDescent="0.2">
      <c r="G541" s="3"/>
      <c r="H541" s="4"/>
      <c r="I541" s="4"/>
      <c r="J541" s="4"/>
      <c r="K541" s="4"/>
      <c r="L541" s="4"/>
    </row>
    <row r="542" spans="7:12" x14ac:dyDescent="0.2">
      <c r="G542" s="3"/>
      <c r="H542" s="4"/>
      <c r="I542" s="4"/>
      <c r="J542" s="4"/>
      <c r="K542" s="4"/>
      <c r="L542" s="4"/>
    </row>
    <row r="543" spans="7:12" x14ac:dyDescent="0.2">
      <c r="G543" s="3"/>
      <c r="H543" s="4"/>
      <c r="I543" s="4"/>
      <c r="J543" s="4"/>
      <c r="K543" s="4"/>
      <c r="L543" s="4"/>
    </row>
    <row r="544" spans="7:12" x14ac:dyDescent="0.2">
      <c r="G544" s="3"/>
      <c r="H544" s="4"/>
      <c r="I544" s="4"/>
      <c r="J544" s="4"/>
      <c r="K544" s="4"/>
      <c r="L544" s="4"/>
    </row>
    <row r="545" spans="7:12" x14ac:dyDescent="0.2">
      <c r="G545" s="3"/>
      <c r="H545" s="4"/>
      <c r="I545" s="4"/>
      <c r="J545" s="4"/>
      <c r="K545" s="4"/>
      <c r="L545" s="4"/>
    </row>
    <row r="546" spans="7:12" x14ac:dyDescent="0.2">
      <c r="G546" s="3"/>
      <c r="H546" s="4"/>
      <c r="I546" s="4"/>
      <c r="J546" s="4"/>
      <c r="K546" s="4"/>
      <c r="L546" s="4"/>
    </row>
    <row r="547" spans="7:12" x14ac:dyDescent="0.2">
      <c r="G547" s="3"/>
      <c r="H547" s="4"/>
      <c r="I547" s="4"/>
      <c r="J547" s="4"/>
      <c r="K547" s="4"/>
      <c r="L547" s="4"/>
    </row>
    <row r="548" spans="7:12" x14ac:dyDescent="0.2">
      <c r="G548" s="3"/>
      <c r="H548" s="4"/>
      <c r="I548" s="4"/>
      <c r="J548" s="4"/>
      <c r="K548" s="4"/>
      <c r="L548" s="4"/>
    </row>
    <row r="561" spans="6:6" ht="15.75" x14ac:dyDescent="0.25">
      <c r="F561" s="12" t="s">
        <v>486</v>
      </c>
    </row>
  </sheetData>
  <sheetProtection sheet="1" objects="1" scenarios="1" selectLockedCells="1"/>
  <phoneticPr fontId="1" type="noConversion"/>
  <printOptions gridLines="1"/>
  <pageMargins left="0.75" right="0.75" top="1" bottom="1" header="0.5" footer="0.5"/>
  <pageSetup orientation="portrait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7"/>
  <sheetViews>
    <sheetView workbookViewId="0">
      <selection activeCell="H91" sqref="H91"/>
    </sheetView>
  </sheetViews>
  <sheetFormatPr defaultRowHeight="15" x14ac:dyDescent="0.2"/>
  <cols>
    <col min="1" max="1" width="45.42578125" style="1" customWidth="1"/>
    <col min="2" max="2" width="15.42578125" style="1" customWidth="1"/>
    <col min="3" max="3" width="8.28515625" style="1" customWidth="1"/>
    <col min="4" max="4" width="8.140625" style="1" customWidth="1"/>
    <col min="5" max="5" width="5.85546875" style="1" customWidth="1"/>
    <col min="6" max="6" width="7.5703125" style="1" customWidth="1"/>
    <col min="7" max="7" width="45.28515625" style="1" customWidth="1"/>
    <col min="8" max="8" width="14.140625" style="1" customWidth="1"/>
    <col min="9" max="16384" width="9.140625" style="1"/>
  </cols>
  <sheetData>
    <row r="1" spans="1:12" ht="18" x14ac:dyDescent="0.25">
      <c r="A1" s="83" t="s">
        <v>320</v>
      </c>
      <c r="G1" s="4"/>
      <c r="H1" s="4"/>
      <c r="I1" s="4"/>
      <c r="J1" s="4"/>
      <c r="K1" s="4"/>
    </row>
    <row r="2" spans="1:12" x14ac:dyDescent="0.2">
      <c r="A2" s="5" t="s">
        <v>321</v>
      </c>
      <c r="G2" s="4"/>
      <c r="H2" s="4"/>
      <c r="I2" s="4"/>
      <c r="J2" s="4"/>
      <c r="K2" s="4"/>
    </row>
    <row r="3" spans="1:12" ht="15.75" x14ac:dyDescent="0.25">
      <c r="G3" s="58"/>
      <c r="H3" s="4"/>
      <c r="I3" s="4"/>
      <c r="J3" s="4"/>
      <c r="K3" s="4"/>
    </row>
    <row r="4" spans="1:12" x14ac:dyDescent="0.2">
      <c r="K4" s="4"/>
    </row>
    <row r="5" spans="1:12" x14ac:dyDescent="0.2">
      <c r="K5" s="4"/>
    </row>
    <row r="6" spans="1:12" x14ac:dyDescent="0.2">
      <c r="K6" s="4"/>
    </row>
    <row r="7" spans="1:12" x14ac:dyDescent="0.2">
      <c r="K7" s="4"/>
    </row>
    <row r="8" spans="1:12" x14ac:dyDescent="0.2">
      <c r="K8" s="4"/>
    </row>
    <row r="9" spans="1:12" x14ac:dyDescent="0.2">
      <c r="K9" s="4"/>
    </row>
    <row r="10" spans="1:12" x14ac:dyDescent="0.2">
      <c r="K10" s="4"/>
    </row>
    <row r="11" spans="1:12" x14ac:dyDescent="0.2">
      <c r="K11" s="4"/>
    </row>
    <row r="12" spans="1:12" x14ac:dyDescent="0.2">
      <c r="K12" s="4"/>
    </row>
    <row r="13" spans="1:12" x14ac:dyDescent="0.2">
      <c r="K13" s="4"/>
    </row>
    <row r="14" spans="1:12" ht="16.5" thickBot="1" x14ac:dyDescent="0.3">
      <c r="A14" s="2" t="s">
        <v>40</v>
      </c>
      <c r="B14" s="20" t="s">
        <v>38</v>
      </c>
      <c r="K14" s="4"/>
    </row>
    <row r="15" spans="1:12" ht="15.75" x14ac:dyDescent="0.25">
      <c r="A15" s="7" t="s">
        <v>488</v>
      </c>
      <c r="B15" s="21">
        <v>100</v>
      </c>
      <c r="C15" s="13" t="s">
        <v>26</v>
      </c>
      <c r="F15" s="12" t="s">
        <v>19</v>
      </c>
      <c r="K15" s="4"/>
    </row>
    <row r="16" spans="1:12" ht="15.75" x14ac:dyDescent="0.25">
      <c r="A16" s="7" t="s">
        <v>35</v>
      </c>
      <c r="B16" s="36">
        <v>0.4</v>
      </c>
      <c r="C16" s="13" t="s">
        <v>25</v>
      </c>
      <c r="K16" s="4"/>
      <c r="L16" s="12"/>
    </row>
    <row r="17" spans="1:13" x14ac:dyDescent="0.2">
      <c r="A17" s="7" t="s">
        <v>36</v>
      </c>
      <c r="B17" s="46">
        <v>65.3</v>
      </c>
      <c r="C17" s="13" t="s">
        <v>33</v>
      </c>
      <c r="K17" s="4"/>
    </row>
    <row r="18" spans="1:13" ht="15.75" thickBot="1" x14ac:dyDescent="0.25">
      <c r="A18" s="7" t="s">
        <v>37</v>
      </c>
      <c r="B18" s="67">
        <v>20</v>
      </c>
      <c r="C18" s="13" t="s">
        <v>33</v>
      </c>
      <c r="K18" s="4"/>
    </row>
    <row r="19" spans="1:13" x14ac:dyDescent="0.2">
      <c r="A19" s="7"/>
      <c r="K19" s="4"/>
    </row>
    <row r="20" spans="1:13" ht="15.75" x14ac:dyDescent="0.25">
      <c r="A20" s="7"/>
      <c r="B20" s="20" t="s">
        <v>39</v>
      </c>
      <c r="K20" s="4"/>
    </row>
    <row r="21" spans="1:13" ht="15.75" x14ac:dyDescent="0.25">
      <c r="A21" s="15" t="s">
        <v>417</v>
      </c>
      <c r="B21" s="12" t="s">
        <v>21</v>
      </c>
      <c r="C21" s="12" t="s">
        <v>26</v>
      </c>
      <c r="K21" s="4"/>
    </row>
    <row r="22" spans="1:13" ht="15.75" x14ac:dyDescent="0.25">
      <c r="A22" s="15" t="s">
        <v>34</v>
      </c>
      <c r="B22" s="12" t="s">
        <v>31</v>
      </c>
      <c r="C22" s="13"/>
      <c r="K22" s="58"/>
    </row>
    <row r="23" spans="1:13" ht="15.75" x14ac:dyDescent="0.25">
      <c r="A23" s="15" t="s">
        <v>115</v>
      </c>
      <c r="B23" s="34">
        <f>B15/(B16*(B17-B18))</f>
        <v>5.518763796909492</v>
      </c>
      <c r="C23" s="12" t="s">
        <v>245</v>
      </c>
      <c r="K23" s="72"/>
      <c r="L23" s="20"/>
    </row>
    <row r="24" spans="1:13" ht="15.75" x14ac:dyDescent="0.25">
      <c r="A24" s="15" t="s">
        <v>493</v>
      </c>
      <c r="B24" s="12" t="s">
        <v>244</v>
      </c>
      <c r="C24" s="33" t="s">
        <v>19</v>
      </c>
      <c r="K24" s="3"/>
      <c r="L24" s="44"/>
      <c r="M24" s="13"/>
    </row>
    <row r="25" spans="1:13" ht="15.75" x14ac:dyDescent="0.25">
      <c r="A25" s="15" t="s">
        <v>116</v>
      </c>
      <c r="B25" s="23">
        <f>B23*0.1787</f>
        <v>0.98620309050772625</v>
      </c>
      <c r="C25" s="33" t="s">
        <v>117</v>
      </c>
      <c r="K25" s="3"/>
      <c r="L25" s="43"/>
      <c r="M25" s="13"/>
    </row>
    <row r="26" spans="1:13" x14ac:dyDescent="0.2">
      <c r="A26" s="7"/>
      <c r="K26" s="3"/>
      <c r="L26" s="43"/>
      <c r="M26" s="13"/>
    </row>
    <row r="27" spans="1:13" x14ac:dyDescent="0.2">
      <c r="A27" s="7" t="s">
        <v>122</v>
      </c>
      <c r="B27" s="13" t="s">
        <v>121</v>
      </c>
      <c r="C27" s="13" t="s">
        <v>27</v>
      </c>
      <c r="K27" s="3"/>
      <c r="L27" s="44"/>
      <c r="M27" s="13"/>
    </row>
    <row r="28" spans="1:13" x14ac:dyDescent="0.2">
      <c r="A28" s="7" t="s">
        <v>124</v>
      </c>
      <c r="B28" s="13" t="s">
        <v>123</v>
      </c>
      <c r="C28" s="43" t="s">
        <v>106</v>
      </c>
      <c r="K28" s="3"/>
      <c r="L28" s="44"/>
      <c r="M28" s="13"/>
    </row>
    <row r="29" spans="1:13" x14ac:dyDescent="0.2">
      <c r="K29" s="3"/>
      <c r="L29" s="44"/>
      <c r="M29" s="13"/>
    </row>
    <row r="30" spans="1:13" ht="15.75" x14ac:dyDescent="0.25">
      <c r="A30" s="2" t="s">
        <v>354</v>
      </c>
      <c r="G30" s="3"/>
      <c r="H30" s="25"/>
      <c r="I30" s="27"/>
      <c r="J30" s="4"/>
      <c r="K30" s="3"/>
      <c r="L30" s="20"/>
      <c r="M30" s="13"/>
    </row>
    <row r="31" spans="1:13" ht="15.75" x14ac:dyDescent="0.25">
      <c r="A31" s="15" t="s">
        <v>280</v>
      </c>
      <c r="B31" s="2" t="s">
        <v>41</v>
      </c>
      <c r="G31" s="24"/>
      <c r="H31" s="30"/>
      <c r="I31" s="4"/>
      <c r="J31" s="4"/>
      <c r="K31" s="24"/>
      <c r="L31" s="12"/>
    </row>
    <row r="32" spans="1:13" ht="15.75" x14ac:dyDescent="0.25">
      <c r="A32" s="7"/>
      <c r="G32" s="24"/>
      <c r="H32" s="32"/>
      <c r="I32" s="30"/>
      <c r="J32" s="4"/>
      <c r="K32" s="24"/>
      <c r="L32" s="73"/>
      <c r="M32" s="12"/>
    </row>
    <row r="33" spans="1:13" ht="15.75" x14ac:dyDescent="0.25">
      <c r="A33" s="12" t="s">
        <v>42</v>
      </c>
      <c r="B33" s="12" t="s">
        <v>248</v>
      </c>
      <c r="D33" s="12" t="s">
        <v>43</v>
      </c>
      <c r="E33" s="12" t="s">
        <v>33</v>
      </c>
      <c r="F33" s="12" t="s">
        <v>44</v>
      </c>
      <c r="G33" s="24"/>
      <c r="H33" s="30"/>
      <c r="I33" s="4"/>
      <c r="J33" s="4"/>
      <c r="K33" s="24"/>
      <c r="L33" s="12"/>
    </row>
    <row r="34" spans="1:13" ht="15.75" x14ac:dyDescent="0.25">
      <c r="A34" s="13" t="s">
        <v>45</v>
      </c>
      <c r="B34" s="13" t="s">
        <v>19</v>
      </c>
      <c r="D34" s="13" t="s">
        <v>46</v>
      </c>
      <c r="E34" s="13">
        <v>1.36</v>
      </c>
      <c r="F34" s="16">
        <v>0.2</v>
      </c>
      <c r="G34" s="24"/>
      <c r="H34" s="30"/>
      <c r="I34" s="30"/>
      <c r="J34" s="4"/>
      <c r="K34" s="24"/>
      <c r="L34" s="12"/>
      <c r="M34" s="12"/>
    </row>
    <row r="35" spans="1:13" x14ac:dyDescent="0.2">
      <c r="A35" s="13" t="s">
        <v>49</v>
      </c>
      <c r="B35" s="13" t="s">
        <v>19</v>
      </c>
      <c r="D35" s="7" t="s">
        <v>47</v>
      </c>
      <c r="E35" s="13">
        <v>0.59</v>
      </c>
      <c r="F35" s="16">
        <v>0.25</v>
      </c>
      <c r="G35" s="4"/>
      <c r="H35" s="4"/>
      <c r="I35" s="4"/>
      <c r="J35" s="4"/>
      <c r="K35" s="72"/>
    </row>
    <row r="36" spans="1:13" x14ac:dyDescent="0.2">
      <c r="A36" s="13" t="s">
        <v>50</v>
      </c>
      <c r="B36" s="13" t="s">
        <v>249</v>
      </c>
      <c r="D36" s="7" t="s">
        <v>48</v>
      </c>
      <c r="E36" s="13">
        <v>0.13</v>
      </c>
      <c r="F36" s="16">
        <v>0.33300000000000002</v>
      </c>
      <c r="G36" s="4"/>
      <c r="H36" s="4"/>
      <c r="I36" s="4"/>
      <c r="J36" s="4"/>
      <c r="K36" s="4"/>
    </row>
    <row r="37" spans="1:13" x14ac:dyDescent="0.2">
      <c r="A37" s="13"/>
      <c r="B37" s="13"/>
      <c r="D37" s="7"/>
      <c r="E37" s="13"/>
      <c r="F37" s="13"/>
      <c r="G37" s="4"/>
      <c r="H37" s="4"/>
      <c r="I37" s="4"/>
      <c r="J37" s="4"/>
      <c r="K37" s="4"/>
    </row>
    <row r="38" spans="1:13" x14ac:dyDescent="0.2">
      <c r="A38" s="13" t="s">
        <v>51</v>
      </c>
      <c r="B38" s="13" t="s">
        <v>54</v>
      </c>
      <c r="D38" s="7" t="s">
        <v>55</v>
      </c>
      <c r="E38" s="13">
        <v>0.54</v>
      </c>
      <c r="F38" s="16">
        <v>0.25</v>
      </c>
      <c r="G38" s="4"/>
      <c r="H38" s="4"/>
      <c r="I38" s="4"/>
      <c r="J38" s="4"/>
      <c r="K38" s="4"/>
    </row>
    <row r="39" spans="1:13" x14ac:dyDescent="0.2">
      <c r="A39" s="13" t="s">
        <v>52</v>
      </c>
      <c r="B39" s="13"/>
      <c r="D39" s="7" t="s">
        <v>56</v>
      </c>
      <c r="E39" s="13">
        <v>0.14000000000000001</v>
      </c>
      <c r="F39" s="16">
        <v>0.33300000000000002</v>
      </c>
      <c r="G39" s="4"/>
      <c r="H39" s="4"/>
      <c r="I39" s="4"/>
      <c r="J39" s="4"/>
      <c r="K39" s="4"/>
    </row>
    <row r="40" spans="1:13" x14ac:dyDescent="0.2">
      <c r="A40" s="13"/>
      <c r="B40" s="13"/>
      <c r="D40" s="7"/>
      <c r="E40" s="13"/>
      <c r="F40" s="13"/>
      <c r="G40" s="4"/>
      <c r="H40" s="4"/>
      <c r="I40" s="4"/>
      <c r="J40" s="4"/>
      <c r="K40" s="4"/>
    </row>
    <row r="41" spans="1:13" x14ac:dyDescent="0.2">
      <c r="A41" s="13" t="s">
        <v>51</v>
      </c>
      <c r="B41" s="13"/>
      <c r="D41" s="7" t="s">
        <v>57</v>
      </c>
      <c r="E41" s="13">
        <v>0.27</v>
      </c>
      <c r="F41" s="16">
        <v>0.25</v>
      </c>
      <c r="G41" s="4"/>
      <c r="H41" s="4"/>
      <c r="I41" s="4"/>
      <c r="J41" s="4"/>
      <c r="K41" s="4"/>
    </row>
    <row r="42" spans="1:13" x14ac:dyDescent="0.2">
      <c r="A42" s="13" t="s">
        <v>53</v>
      </c>
      <c r="B42" s="13"/>
      <c r="C42" s="13"/>
      <c r="D42" s="13"/>
      <c r="E42" s="13"/>
      <c r="G42" s="4"/>
      <c r="H42" s="4"/>
      <c r="I42" s="4"/>
      <c r="J42" s="4"/>
      <c r="K42" s="4"/>
    </row>
    <row r="43" spans="1:13" x14ac:dyDescent="0.2">
      <c r="G43" s="4"/>
      <c r="H43" s="4"/>
      <c r="I43" s="4"/>
      <c r="J43" s="4"/>
      <c r="K43" s="4"/>
    </row>
    <row r="44" spans="1:13" ht="15.75" x14ac:dyDescent="0.25">
      <c r="A44" s="2" t="s">
        <v>425</v>
      </c>
      <c r="B44" s="13"/>
      <c r="C44" s="13"/>
      <c r="D44" s="13"/>
      <c r="E44" s="13"/>
      <c r="G44" s="4"/>
      <c r="H44" s="4"/>
      <c r="I44" s="4"/>
      <c r="J44" s="4"/>
      <c r="K44" s="4"/>
    </row>
    <row r="45" spans="1:13" x14ac:dyDescent="0.2">
      <c r="G45" s="4"/>
      <c r="H45" s="4"/>
      <c r="I45" s="4"/>
      <c r="J45" s="4"/>
      <c r="K45" s="4"/>
    </row>
    <row r="46" spans="1:13" ht="16.5" thickBot="1" x14ac:dyDescent="0.3">
      <c r="A46" s="2" t="s">
        <v>355</v>
      </c>
      <c r="B46" s="20" t="s">
        <v>420</v>
      </c>
      <c r="D46" s="18"/>
      <c r="E46" s="13"/>
      <c r="G46" s="4"/>
      <c r="H46" s="4"/>
      <c r="I46" s="4"/>
      <c r="J46" s="4"/>
      <c r="K46" s="4"/>
    </row>
    <row r="47" spans="1:13" ht="15.75" x14ac:dyDescent="0.25">
      <c r="A47" s="7" t="s">
        <v>74</v>
      </c>
      <c r="B47" s="45">
        <v>8</v>
      </c>
      <c r="C47" s="13" t="s">
        <v>90</v>
      </c>
      <c r="D47" s="34"/>
      <c r="E47" s="12"/>
      <c r="G47" s="4"/>
      <c r="H47" s="4"/>
      <c r="I47" s="4"/>
      <c r="J47" s="4"/>
      <c r="K47" s="4"/>
    </row>
    <row r="48" spans="1:13" ht="15.75" x14ac:dyDescent="0.25">
      <c r="A48" s="7" t="s">
        <v>75</v>
      </c>
      <c r="B48" s="37">
        <v>6</v>
      </c>
      <c r="C48" s="13" t="s">
        <v>90</v>
      </c>
      <c r="D48" s="34"/>
      <c r="E48" s="12"/>
      <c r="G48" s="4"/>
      <c r="H48" s="4"/>
      <c r="I48" s="4"/>
      <c r="J48" s="4"/>
      <c r="K48" s="4"/>
    </row>
    <row r="49" spans="1:11" x14ac:dyDescent="0.2">
      <c r="A49" s="7" t="s">
        <v>59</v>
      </c>
      <c r="B49" s="46">
        <v>146</v>
      </c>
      <c r="C49" s="13" t="s">
        <v>8</v>
      </c>
      <c r="G49" s="7"/>
      <c r="H49" s="44"/>
      <c r="I49" s="13"/>
      <c r="J49" s="4"/>
      <c r="K49" s="4"/>
    </row>
    <row r="50" spans="1:11" ht="15.75" thickBot="1" x14ac:dyDescent="0.25">
      <c r="A50" s="7" t="s">
        <v>60</v>
      </c>
      <c r="B50" s="67">
        <v>36</v>
      </c>
      <c r="C50" s="13" t="s">
        <v>8</v>
      </c>
      <c r="G50" s="7"/>
      <c r="H50" s="44"/>
      <c r="I50" s="13"/>
      <c r="J50" s="4"/>
      <c r="K50" s="4"/>
    </row>
    <row r="51" spans="1:11" ht="15.75" x14ac:dyDescent="0.25">
      <c r="B51" s="20" t="s">
        <v>274</v>
      </c>
      <c r="F51" s="12" t="s">
        <v>0</v>
      </c>
      <c r="G51" s="7"/>
      <c r="H51" s="44"/>
      <c r="I51" s="13"/>
      <c r="J51" s="4"/>
      <c r="K51" s="4"/>
    </row>
    <row r="52" spans="1:11" ht="15.75" x14ac:dyDescent="0.25">
      <c r="A52" s="15" t="s">
        <v>423</v>
      </c>
      <c r="B52" s="73">
        <f>(B47*B48)/(B47+B48)</f>
        <v>3.4285714285714284</v>
      </c>
      <c r="C52" s="12" t="s">
        <v>90</v>
      </c>
      <c r="G52" s="7"/>
      <c r="H52" s="44"/>
      <c r="I52" s="13"/>
      <c r="J52" s="4"/>
      <c r="K52" s="4"/>
    </row>
    <row r="53" spans="1:11" ht="15.75" x14ac:dyDescent="0.25">
      <c r="A53" s="15" t="s">
        <v>424</v>
      </c>
      <c r="B53" s="34">
        <f>B52*0.0254</f>
        <v>8.708571428571428E-2</v>
      </c>
      <c r="C53" s="12" t="s">
        <v>58</v>
      </c>
      <c r="H53" s="74"/>
      <c r="J53" s="4"/>
      <c r="K53" s="4"/>
    </row>
    <row r="54" spans="1:11" ht="15.75" x14ac:dyDescent="0.25">
      <c r="A54" s="15" t="s">
        <v>250</v>
      </c>
      <c r="B54" s="12">
        <f>B49-B50</f>
        <v>110</v>
      </c>
      <c r="C54" s="12" t="s">
        <v>8</v>
      </c>
      <c r="H54" s="74"/>
      <c r="J54" s="4"/>
      <c r="K54" s="4"/>
    </row>
    <row r="55" spans="1:11" ht="15.75" x14ac:dyDescent="0.25">
      <c r="A55" s="15" t="s">
        <v>61</v>
      </c>
      <c r="B55" s="12" t="s">
        <v>62</v>
      </c>
      <c r="C55" s="12" t="s">
        <v>8</v>
      </c>
      <c r="H55" s="74"/>
      <c r="J55" s="4"/>
      <c r="K55" s="4"/>
    </row>
    <row r="56" spans="1:11" ht="15.75" x14ac:dyDescent="0.25">
      <c r="A56" s="15" t="s">
        <v>251</v>
      </c>
      <c r="B56" s="12">
        <f>(B49+B50)/2</f>
        <v>91</v>
      </c>
      <c r="C56" s="12" t="s">
        <v>8</v>
      </c>
      <c r="H56" s="74"/>
      <c r="J56" s="4"/>
      <c r="K56" s="4"/>
    </row>
    <row r="57" spans="1:11" x14ac:dyDescent="0.2">
      <c r="H57" s="74"/>
      <c r="J57" s="4"/>
      <c r="K57" s="4"/>
    </row>
    <row r="58" spans="1:11" ht="15.75" x14ac:dyDescent="0.25">
      <c r="A58" s="2" t="s">
        <v>419</v>
      </c>
      <c r="H58" s="74"/>
      <c r="J58" s="4"/>
      <c r="K58" s="4"/>
    </row>
    <row r="59" spans="1:11" ht="16.5" thickBot="1" x14ac:dyDescent="0.3">
      <c r="B59" s="20" t="s">
        <v>421</v>
      </c>
      <c r="H59" s="74"/>
      <c r="J59" s="4"/>
      <c r="K59" s="4"/>
    </row>
    <row r="60" spans="1:11" x14ac:dyDescent="0.2">
      <c r="A60" s="7" t="s">
        <v>498</v>
      </c>
      <c r="B60" s="21">
        <v>3.1150000000000001E-2</v>
      </c>
      <c r="C60" s="13" t="s">
        <v>63</v>
      </c>
      <c r="G60" s="7"/>
      <c r="H60" s="44"/>
      <c r="I60" s="13"/>
      <c r="J60" s="4"/>
      <c r="K60" s="4"/>
    </row>
    <row r="61" spans="1:11" x14ac:dyDescent="0.2">
      <c r="A61" s="7" t="s">
        <v>497</v>
      </c>
      <c r="B61" s="36">
        <v>0.96399999999999997</v>
      </c>
      <c r="C61" s="13" t="s">
        <v>64</v>
      </c>
      <c r="D61" s="1" t="s">
        <v>19</v>
      </c>
      <c r="G61" s="7"/>
      <c r="H61" s="44"/>
      <c r="I61" s="13"/>
      <c r="J61" s="4"/>
      <c r="K61" s="4"/>
    </row>
    <row r="62" spans="1:11" x14ac:dyDescent="0.2">
      <c r="A62" s="7" t="s">
        <v>587</v>
      </c>
      <c r="B62" s="75">
        <v>2.1500000000000001E-5</v>
      </c>
      <c r="C62" s="5" t="s">
        <v>65</v>
      </c>
      <c r="G62" s="7"/>
      <c r="H62" s="44"/>
      <c r="I62" s="13"/>
      <c r="J62" s="4"/>
      <c r="K62" s="4"/>
    </row>
    <row r="63" spans="1:11" x14ac:dyDescent="0.2">
      <c r="A63" s="7" t="s">
        <v>495</v>
      </c>
      <c r="B63" s="75">
        <v>2.7399999999999998E-3</v>
      </c>
      <c r="C63" s="13" t="s">
        <v>66</v>
      </c>
      <c r="G63" s="7"/>
      <c r="H63" s="44"/>
      <c r="I63" s="13"/>
      <c r="J63" s="4"/>
      <c r="K63" s="4"/>
    </row>
    <row r="64" spans="1:11" x14ac:dyDescent="0.2">
      <c r="A64" s="7" t="s">
        <v>494</v>
      </c>
      <c r="B64" s="36">
        <v>9.81</v>
      </c>
      <c r="C64" s="13" t="s">
        <v>68</v>
      </c>
      <c r="G64" s="7"/>
      <c r="H64" s="44"/>
      <c r="I64" s="13"/>
      <c r="J64" s="4"/>
      <c r="K64" s="4"/>
    </row>
    <row r="65" spans="1:11" ht="15.75" thickBot="1" x14ac:dyDescent="0.25">
      <c r="A65" s="7" t="s">
        <v>496</v>
      </c>
      <c r="B65" s="22">
        <v>0.69399999999999995</v>
      </c>
      <c r="C65" s="13" t="s">
        <v>283</v>
      </c>
      <c r="G65" s="7"/>
      <c r="H65" s="44"/>
      <c r="I65" s="13"/>
      <c r="J65" s="4"/>
      <c r="K65" s="4"/>
    </row>
    <row r="66" spans="1:11" ht="15.75" x14ac:dyDescent="0.25">
      <c r="A66" s="15" t="s">
        <v>67</v>
      </c>
      <c r="B66" s="33" t="s">
        <v>78</v>
      </c>
      <c r="C66" s="33"/>
      <c r="G66" s="7"/>
      <c r="H66" s="76"/>
      <c r="J66" s="4"/>
      <c r="K66" s="4"/>
    </row>
    <row r="67" spans="1:11" ht="15.75" x14ac:dyDescent="0.25">
      <c r="A67" s="15" t="s">
        <v>252</v>
      </c>
      <c r="B67" s="77">
        <f>(B53^3*B64*B63*B61^2)*(B54)/B62^2</f>
        <v>3925817.9669544944</v>
      </c>
      <c r="G67" s="7"/>
      <c r="H67" s="76"/>
      <c r="I67" s="13"/>
      <c r="J67" s="4"/>
      <c r="K67" s="4"/>
    </row>
    <row r="68" spans="1:11" ht="15.75" x14ac:dyDescent="0.25">
      <c r="A68" s="15" t="s">
        <v>253</v>
      </c>
      <c r="B68" s="77">
        <f>B67*B65</f>
        <v>2724517.6690664189</v>
      </c>
      <c r="G68" s="7"/>
      <c r="H68" s="44"/>
      <c r="I68" s="13"/>
      <c r="J68" s="4"/>
      <c r="K68" s="4"/>
    </row>
    <row r="69" spans="1:11" ht="15.75" x14ac:dyDescent="0.25">
      <c r="A69" s="2" t="s">
        <v>426</v>
      </c>
      <c r="G69" s="7"/>
      <c r="H69" s="44"/>
      <c r="I69" s="13"/>
      <c r="J69" s="4"/>
      <c r="K69" s="4"/>
    </row>
    <row r="70" spans="1:11" ht="16.5" thickBot="1" x14ac:dyDescent="0.3">
      <c r="B70" s="20" t="s">
        <v>422</v>
      </c>
      <c r="G70" s="7"/>
      <c r="H70" s="44"/>
      <c r="I70" s="13"/>
      <c r="J70" s="4"/>
      <c r="K70" s="4"/>
    </row>
    <row r="71" spans="1:11" x14ac:dyDescent="0.2">
      <c r="A71" s="7" t="s">
        <v>69</v>
      </c>
      <c r="B71" s="21" t="s">
        <v>70</v>
      </c>
      <c r="J71" s="4"/>
      <c r="K71" s="4"/>
    </row>
    <row r="72" spans="1:11" x14ac:dyDescent="0.2">
      <c r="A72" s="7" t="s">
        <v>71</v>
      </c>
      <c r="B72" s="36">
        <v>0.53</v>
      </c>
      <c r="J72" s="4"/>
      <c r="K72" s="4"/>
    </row>
    <row r="73" spans="1:11" ht="15.75" thickBot="1" x14ac:dyDescent="0.25">
      <c r="A73" s="7" t="s">
        <v>72</v>
      </c>
      <c r="B73" s="22">
        <v>0.25</v>
      </c>
      <c r="J73" s="4"/>
      <c r="K73" s="4"/>
    </row>
    <row r="74" spans="1:11" ht="15.75" x14ac:dyDescent="0.25">
      <c r="A74" s="15" t="s">
        <v>77</v>
      </c>
      <c r="B74" s="2" t="s">
        <v>41</v>
      </c>
      <c r="J74" s="4"/>
      <c r="K74" s="4"/>
    </row>
    <row r="75" spans="1:11" ht="15.75" x14ac:dyDescent="0.25">
      <c r="A75" s="15" t="s">
        <v>115</v>
      </c>
      <c r="B75" s="23">
        <f>(B60*B72)*((B68)^B73)/B53</f>
        <v>7.702104548785722</v>
      </c>
      <c r="C75" s="33" t="s">
        <v>73</v>
      </c>
      <c r="G75" s="4"/>
      <c r="H75" s="4"/>
      <c r="I75" s="4"/>
      <c r="J75" s="4"/>
      <c r="K75" s="4"/>
    </row>
    <row r="76" spans="1:11" ht="15.75" x14ac:dyDescent="0.25">
      <c r="A76" s="15" t="s">
        <v>116</v>
      </c>
      <c r="B76" s="12" t="s">
        <v>120</v>
      </c>
      <c r="C76" s="33" t="s">
        <v>117</v>
      </c>
      <c r="G76" s="4"/>
      <c r="H76" s="4"/>
      <c r="I76" s="4"/>
      <c r="J76" s="4"/>
      <c r="K76" s="4"/>
    </row>
    <row r="77" spans="1:11" ht="15.75" x14ac:dyDescent="0.25">
      <c r="A77" s="15" t="s">
        <v>116</v>
      </c>
      <c r="B77" s="23">
        <f>B75/5.5956</f>
        <v>1.3764573144588108</v>
      </c>
      <c r="C77" s="33" t="s">
        <v>117</v>
      </c>
      <c r="G77" s="4"/>
      <c r="H77" s="4"/>
      <c r="I77" s="4"/>
      <c r="J77" s="4"/>
      <c r="K77" s="4"/>
    </row>
    <row r="78" spans="1:11" x14ac:dyDescent="0.2">
      <c r="A78" s="7"/>
      <c r="G78" s="4"/>
      <c r="H78" s="4"/>
      <c r="I78" s="4"/>
      <c r="J78" s="4"/>
      <c r="K78" s="4"/>
    </row>
    <row r="79" spans="1:11" x14ac:dyDescent="0.2">
      <c r="A79" s="7"/>
      <c r="G79" s="4"/>
      <c r="H79" s="4"/>
      <c r="I79" s="4"/>
      <c r="J79" s="4"/>
      <c r="K79" s="4"/>
    </row>
    <row r="80" spans="1:11" x14ac:dyDescent="0.2">
      <c r="A80" s="7"/>
      <c r="G80" s="4"/>
      <c r="H80" s="4"/>
      <c r="I80" s="4"/>
      <c r="J80" s="4"/>
      <c r="K80" s="4"/>
    </row>
    <row r="81" spans="1:11" x14ac:dyDescent="0.2">
      <c r="A81" s="7"/>
      <c r="G81" s="4"/>
      <c r="H81" s="4"/>
      <c r="I81" s="4"/>
      <c r="J81" s="4"/>
      <c r="K81" s="4"/>
    </row>
    <row r="82" spans="1:11" x14ac:dyDescent="0.2">
      <c r="A82" s="7"/>
      <c r="G82" s="4"/>
      <c r="H82" s="4"/>
      <c r="I82" s="4"/>
      <c r="J82" s="4"/>
      <c r="K82" s="4"/>
    </row>
    <row r="83" spans="1:11" x14ac:dyDescent="0.2">
      <c r="A83" s="7"/>
      <c r="G83" s="4"/>
      <c r="H83" s="4"/>
      <c r="I83" s="4"/>
      <c r="J83" s="4"/>
      <c r="K83" s="4"/>
    </row>
    <row r="84" spans="1:11" x14ac:dyDescent="0.2">
      <c r="A84" s="7"/>
      <c r="G84" s="4"/>
      <c r="H84" s="4"/>
      <c r="I84" s="4"/>
      <c r="J84" s="4"/>
      <c r="K84" s="4"/>
    </row>
    <row r="85" spans="1:11" x14ac:dyDescent="0.2">
      <c r="A85" s="7"/>
      <c r="G85" s="4"/>
      <c r="H85" s="4"/>
      <c r="I85" s="4"/>
      <c r="J85" s="4"/>
      <c r="K85" s="4"/>
    </row>
    <row r="86" spans="1:11" x14ac:dyDescent="0.2">
      <c r="A86" s="7"/>
      <c r="G86" s="4"/>
      <c r="H86" s="4"/>
      <c r="I86" s="4"/>
      <c r="J86" s="4"/>
      <c r="K86" s="4"/>
    </row>
    <row r="87" spans="1:11" x14ac:dyDescent="0.2">
      <c r="A87" s="7"/>
      <c r="G87" s="4"/>
      <c r="H87" s="4"/>
      <c r="I87" s="4"/>
      <c r="J87" s="4"/>
      <c r="K87" s="4"/>
    </row>
    <row r="88" spans="1:11" x14ac:dyDescent="0.2">
      <c r="A88" s="7"/>
      <c r="G88" s="4"/>
      <c r="H88" s="4"/>
      <c r="I88" s="4"/>
      <c r="J88" s="4"/>
      <c r="K88" s="4"/>
    </row>
    <row r="89" spans="1:11" ht="15.75" x14ac:dyDescent="0.25">
      <c r="A89" s="7"/>
      <c r="C89" s="12"/>
      <c r="E89" s="12"/>
      <c r="G89" s="4"/>
      <c r="H89" s="4"/>
      <c r="I89" s="4"/>
      <c r="J89" s="4"/>
      <c r="K89" s="4"/>
    </row>
    <row r="90" spans="1:11" x14ac:dyDescent="0.2">
      <c r="A90" s="7"/>
      <c r="B90" s="13"/>
      <c r="C90" s="13"/>
      <c r="D90" s="13"/>
      <c r="E90" s="13"/>
      <c r="F90" s="13"/>
      <c r="G90" s="4"/>
      <c r="H90" s="4"/>
      <c r="I90" s="4"/>
      <c r="J90" s="4"/>
      <c r="K90" s="4"/>
    </row>
    <row r="91" spans="1:11" x14ac:dyDescent="0.2">
      <c r="A91" s="7"/>
      <c r="B91" s="13"/>
      <c r="C91" s="16"/>
      <c r="D91" s="13"/>
      <c r="E91" s="13"/>
      <c r="F91" s="13"/>
      <c r="G91" s="4"/>
      <c r="H91" s="4"/>
      <c r="I91" s="4"/>
      <c r="J91" s="4"/>
      <c r="K91" s="4"/>
    </row>
    <row r="92" spans="1:11" ht="15.75" x14ac:dyDescent="0.25">
      <c r="G92" s="58"/>
      <c r="H92" s="4"/>
      <c r="I92" s="4"/>
      <c r="J92" s="4"/>
      <c r="K92" s="4"/>
    </row>
    <row r="93" spans="1:11" ht="15.75" x14ac:dyDescent="0.25">
      <c r="A93" s="2" t="s">
        <v>306</v>
      </c>
      <c r="G93" s="3"/>
      <c r="H93" s="35"/>
      <c r="I93" s="4"/>
      <c r="J93" s="4"/>
      <c r="K93" s="4"/>
    </row>
    <row r="94" spans="1:11" ht="15.75" x14ac:dyDescent="0.25">
      <c r="A94" s="7"/>
      <c r="B94" s="33" t="s">
        <v>294</v>
      </c>
      <c r="G94" s="24"/>
      <c r="H94" s="30"/>
      <c r="I94" s="30"/>
      <c r="J94" s="30"/>
      <c r="K94" s="4"/>
    </row>
    <row r="95" spans="1:11" ht="15.75" x14ac:dyDescent="0.25">
      <c r="A95" s="15" t="s">
        <v>293</v>
      </c>
      <c r="B95" s="12" t="s">
        <v>295</v>
      </c>
      <c r="C95" s="12" t="s">
        <v>297</v>
      </c>
      <c r="D95" s="12" t="s">
        <v>297</v>
      </c>
      <c r="G95" s="24"/>
      <c r="H95" s="30"/>
      <c r="I95" s="30"/>
      <c r="J95" s="30"/>
      <c r="K95" s="4"/>
    </row>
    <row r="96" spans="1:11" ht="15.75" x14ac:dyDescent="0.25">
      <c r="A96" s="15"/>
      <c r="B96" s="12" t="s">
        <v>296</v>
      </c>
      <c r="C96" s="12" t="s">
        <v>298</v>
      </c>
      <c r="D96" s="12" t="s">
        <v>29</v>
      </c>
      <c r="G96" s="24"/>
      <c r="H96" s="30"/>
      <c r="I96" s="30"/>
      <c r="J96" s="30"/>
      <c r="K96" s="4"/>
    </row>
    <row r="97" spans="1:11" ht="15.75" x14ac:dyDescent="0.25">
      <c r="A97" s="15" t="s">
        <v>301</v>
      </c>
      <c r="B97" s="12">
        <v>559</v>
      </c>
      <c r="C97" s="12">
        <v>223</v>
      </c>
      <c r="D97" s="12">
        <v>386</v>
      </c>
      <c r="G97" s="24"/>
      <c r="H97" s="30"/>
      <c r="I97" s="30"/>
      <c r="J97" s="30"/>
      <c r="K97" s="4"/>
    </row>
    <row r="98" spans="1:11" ht="15.75" x14ac:dyDescent="0.25">
      <c r="A98" s="15" t="s">
        <v>302</v>
      </c>
      <c r="B98" s="12">
        <v>532</v>
      </c>
      <c r="C98" s="12">
        <v>64</v>
      </c>
      <c r="D98" s="12">
        <v>111</v>
      </c>
      <c r="G98" s="24"/>
      <c r="H98" s="30"/>
      <c r="I98" s="30"/>
      <c r="J98" s="30"/>
      <c r="K98" s="4"/>
    </row>
    <row r="99" spans="1:11" ht="15.75" x14ac:dyDescent="0.25">
      <c r="A99" s="15" t="s">
        <v>303</v>
      </c>
      <c r="B99" s="12">
        <v>657</v>
      </c>
      <c r="C99" s="12">
        <v>235</v>
      </c>
      <c r="D99" s="12">
        <v>407</v>
      </c>
      <c r="G99" s="24"/>
      <c r="H99" s="30"/>
      <c r="I99" s="30"/>
      <c r="J99" s="30"/>
      <c r="K99" s="4"/>
    </row>
    <row r="100" spans="1:11" ht="15.75" x14ac:dyDescent="0.25">
      <c r="A100" s="15" t="s">
        <v>300</v>
      </c>
      <c r="B100" s="12">
        <v>174</v>
      </c>
      <c r="C100" s="12">
        <v>95</v>
      </c>
      <c r="D100" s="12">
        <v>164</v>
      </c>
      <c r="G100" s="24"/>
      <c r="H100" s="30"/>
      <c r="I100" s="30"/>
      <c r="J100" s="30"/>
      <c r="K100" s="4"/>
    </row>
    <row r="101" spans="1:11" ht="15.75" x14ac:dyDescent="0.25">
      <c r="A101" s="15" t="s">
        <v>299</v>
      </c>
      <c r="B101" s="12">
        <v>487</v>
      </c>
      <c r="C101" s="12">
        <v>25</v>
      </c>
      <c r="D101" s="12">
        <v>43</v>
      </c>
      <c r="G101" s="24"/>
      <c r="H101" s="30"/>
      <c r="I101" s="30"/>
      <c r="J101" s="30"/>
      <c r="K101" s="4"/>
    </row>
    <row r="102" spans="1:11" ht="15.75" x14ac:dyDescent="0.25">
      <c r="A102" s="15" t="s">
        <v>304</v>
      </c>
      <c r="B102" s="12">
        <v>541</v>
      </c>
      <c r="C102" s="12">
        <v>15</v>
      </c>
      <c r="D102" s="12">
        <v>26</v>
      </c>
      <c r="G102" s="24"/>
      <c r="H102" s="30"/>
      <c r="I102" s="30"/>
      <c r="J102" s="30"/>
      <c r="K102" s="4"/>
    </row>
    <row r="103" spans="1:11" ht="15.75" x14ac:dyDescent="0.25">
      <c r="A103" s="15" t="s">
        <v>305</v>
      </c>
      <c r="B103" s="12">
        <v>488</v>
      </c>
      <c r="C103" s="12">
        <v>9.4</v>
      </c>
      <c r="D103" s="12">
        <v>16.3</v>
      </c>
      <c r="G103" s="24"/>
      <c r="H103" s="30"/>
      <c r="I103" s="30"/>
      <c r="J103" s="30"/>
      <c r="K103" s="4"/>
    </row>
    <row r="104" spans="1:11" ht="15.75" x14ac:dyDescent="0.25">
      <c r="A104" s="15" t="s">
        <v>308</v>
      </c>
      <c r="B104" s="12"/>
      <c r="C104" s="12">
        <v>0.79</v>
      </c>
      <c r="D104" s="12">
        <v>1.37</v>
      </c>
      <c r="G104" s="24"/>
      <c r="H104" s="35"/>
      <c r="I104" s="30"/>
      <c r="J104" s="30"/>
      <c r="K104" s="4"/>
    </row>
    <row r="105" spans="1:11" ht="15.75" x14ac:dyDescent="0.25">
      <c r="A105" s="15" t="s">
        <v>311</v>
      </c>
      <c r="B105" s="12">
        <v>161</v>
      </c>
      <c r="C105" s="12">
        <v>0.45</v>
      </c>
      <c r="D105" s="12">
        <v>0.78</v>
      </c>
      <c r="G105" s="24"/>
      <c r="H105" s="30"/>
      <c r="I105" s="54"/>
      <c r="J105" s="30"/>
      <c r="K105" s="4"/>
    </row>
    <row r="106" spans="1:11" ht="15.75" x14ac:dyDescent="0.25">
      <c r="A106" s="15" t="s">
        <v>619</v>
      </c>
      <c r="B106" s="12">
        <v>480</v>
      </c>
      <c r="C106" s="34">
        <v>0.4</v>
      </c>
      <c r="D106" s="12">
        <v>0.69</v>
      </c>
      <c r="G106" s="24"/>
      <c r="H106" s="35"/>
      <c r="I106" s="30"/>
      <c r="J106" s="30"/>
      <c r="K106" s="4"/>
    </row>
    <row r="107" spans="1:11" ht="15.75" x14ac:dyDescent="0.25">
      <c r="A107" s="15" t="s">
        <v>309</v>
      </c>
      <c r="B107" s="12"/>
      <c r="C107" s="12">
        <v>6.3E-2</v>
      </c>
      <c r="D107" s="12">
        <v>0.109</v>
      </c>
      <c r="G107" s="24"/>
      <c r="H107" s="35"/>
      <c r="I107" s="30"/>
      <c r="J107" s="30"/>
      <c r="K107" s="4"/>
    </row>
    <row r="108" spans="1:11" ht="15.75" x14ac:dyDescent="0.25">
      <c r="A108" s="15" t="s">
        <v>310</v>
      </c>
      <c r="B108" s="12"/>
      <c r="C108" s="12">
        <v>6.5000000000000002E-2</v>
      </c>
      <c r="D108" s="12">
        <v>0.112</v>
      </c>
      <c r="G108" s="24"/>
      <c r="H108" s="35"/>
      <c r="I108" s="30"/>
      <c r="J108" s="30"/>
      <c r="K108" s="4"/>
    </row>
    <row r="109" spans="1:11" ht="15.75" x14ac:dyDescent="0.25">
      <c r="A109" s="15" t="s">
        <v>618</v>
      </c>
      <c r="B109" s="12">
        <v>1.5</v>
      </c>
      <c r="C109" s="12">
        <v>2.1999999999999999E-2</v>
      </c>
      <c r="D109" s="12">
        <v>3.7999999999999999E-2</v>
      </c>
      <c r="G109" s="4"/>
      <c r="H109" s="4"/>
      <c r="I109" s="4"/>
      <c r="J109" s="4"/>
      <c r="K109" s="4"/>
    </row>
    <row r="110" spans="1:11" x14ac:dyDescent="0.2">
      <c r="G110" s="4"/>
      <c r="H110" s="4"/>
      <c r="I110" s="4"/>
      <c r="J110" s="4"/>
      <c r="K110" s="4"/>
    </row>
    <row r="111" spans="1:11" x14ac:dyDescent="0.2">
      <c r="G111" s="4"/>
      <c r="H111" s="4"/>
      <c r="I111" s="4"/>
      <c r="J111" s="4"/>
      <c r="K111" s="4"/>
    </row>
    <row r="112" spans="1:11" x14ac:dyDescent="0.2">
      <c r="G112" s="4"/>
      <c r="H112" s="4"/>
      <c r="I112" s="4"/>
      <c r="J112" s="4"/>
      <c r="K112" s="4"/>
    </row>
    <row r="113" spans="1:11" x14ac:dyDescent="0.2">
      <c r="G113" s="4"/>
      <c r="H113" s="4"/>
      <c r="I113" s="4"/>
      <c r="J113" s="4"/>
      <c r="K113" s="4"/>
    </row>
    <row r="114" spans="1:11" x14ac:dyDescent="0.2">
      <c r="G114" s="4"/>
      <c r="H114" s="4"/>
      <c r="I114" s="4"/>
      <c r="J114" s="4"/>
      <c r="K114" s="4"/>
    </row>
    <row r="115" spans="1:11" ht="15.75" x14ac:dyDescent="0.25">
      <c r="A115" s="7"/>
      <c r="C115" s="12" t="s">
        <v>19</v>
      </c>
      <c r="G115" s="4"/>
      <c r="H115" s="4"/>
      <c r="I115" s="4"/>
      <c r="J115" s="4"/>
      <c r="K115" s="4"/>
    </row>
    <row r="116" spans="1:11" ht="15.75" x14ac:dyDescent="0.25">
      <c r="A116" s="2" t="s">
        <v>153</v>
      </c>
      <c r="G116" s="4"/>
      <c r="H116" s="4"/>
      <c r="I116" s="4"/>
      <c r="J116" s="4"/>
      <c r="K116" s="4"/>
    </row>
    <row r="117" spans="1:11" x14ac:dyDescent="0.2">
      <c r="A117" s="5" t="s">
        <v>427</v>
      </c>
      <c r="G117" s="4"/>
      <c r="H117" s="4"/>
      <c r="I117" s="4"/>
      <c r="J117" s="4"/>
      <c r="K117" s="4"/>
    </row>
    <row r="118" spans="1:11" x14ac:dyDescent="0.2">
      <c r="A118" s="5" t="s">
        <v>265</v>
      </c>
      <c r="G118" s="4"/>
      <c r="H118" s="4"/>
      <c r="I118" s="4"/>
      <c r="J118" s="4"/>
      <c r="K118" s="4"/>
    </row>
    <row r="119" spans="1:11" x14ac:dyDescent="0.2">
      <c r="A119" s="7"/>
      <c r="G119" s="4"/>
      <c r="H119" s="4"/>
      <c r="I119" s="4"/>
      <c r="J119" s="4"/>
      <c r="K119" s="4"/>
    </row>
    <row r="120" spans="1:11" x14ac:dyDescent="0.2">
      <c r="A120" s="5" t="s">
        <v>266</v>
      </c>
      <c r="G120" s="4"/>
      <c r="H120" s="4"/>
      <c r="I120" s="4"/>
      <c r="J120" s="4"/>
      <c r="K120" s="4"/>
    </row>
    <row r="121" spans="1:11" x14ac:dyDescent="0.2">
      <c r="A121" s="5" t="s">
        <v>593</v>
      </c>
      <c r="F121" s="5" t="s">
        <v>19</v>
      </c>
      <c r="G121" s="4"/>
      <c r="H121" s="4"/>
      <c r="I121" s="4"/>
      <c r="J121" s="4"/>
      <c r="K121" s="4"/>
    </row>
    <row r="122" spans="1:11" x14ac:dyDescent="0.2">
      <c r="A122" s="5"/>
      <c r="G122" s="4"/>
      <c r="H122" s="4"/>
      <c r="I122" s="4"/>
      <c r="J122" s="4"/>
      <c r="K122" s="4"/>
    </row>
    <row r="123" spans="1:11" x14ac:dyDescent="0.2">
      <c r="A123" s="5" t="s">
        <v>261</v>
      </c>
      <c r="G123" s="4"/>
      <c r="H123" s="4"/>
      <c r="I123" s="4"/>
      <c r="J123" s="4"/>
      <c r="K123" s="4"/>
    </row>
    <row r="124" spans="1:11" x14ac:dyDescent="0.2">
      <c r="A124" s="5" t="s">
        <v>262</v>
      </c>
      <c r="G124" s="4"/>
      <c r="H124" s="4"/>
      <c r="I124" s="4"/>
      <c r="J124" s="4"/>
      <c r="K124" s="4"/>
    </row>
    <row r="125" spans="1:11" x14ac:dyDescent="0.2">
      <c r="A125" s="5" t="s">
        <v>263</v>
      </c>
      <c r="G125" s="4"/>
      <c r="H125" s="4"/>
      <c r="I125" s="4"/>
      <c r="J125" s="4"/>
      <c r="K125" s="4"/>
    </row>
    <row r="126" spans="1:11" x14ac:dyDescent="0.2">
      <c r="A126" s="5" t="s">
        <v>264</v>
      </c>
      <c r="G126" s="4"/>
      <c r="H126" s="4"/>
      <c r="I126" s="4"/>
      <c r="J126" s="4"/>
      <c r="K126" s="4"/>
    </row>
    <row r="127" spans="1:11" x14ac:dyDescent="0.2">
      <c r="A127" s="5"/>
      <c r="F127" s="1" t="s">
        <v>32</v>
      </c>
      <c r="G127" s="4"/>
      <c r="H127" s="4"/>
      <c r="I127" s="4"/>
      <c r="J127" s="4"/>
      <c r="K127" s="4"/>
    </row>
    <row r="128" spans="1:11" x14ac:dyDescent="0.2">
      <c r="A128" s="7"/>
      <c r="G128" s="4"/>
      <c r="H128" s="4"/>
      <c r="I128" s="4"/>
      <c r="J128" s="4"/>
      <c r="K128" s="4"/>
    </row>
    <row r="129" spans="1:11" x14ac:dyDescent="0.2">
      <c r="A129" s="7"/>
      <c r="G129" s="4"/>
      <c r="H129" s="4"/>
      <c r="I129" s="4"/>
      <c r="J129" s="4"/>
      <c r="K129" s="4"/>
    </row>
    <row r="130" spans="1:11" x14ac:dyDescent="0.2">
      <c r="G130" s="4"/>
      <c r="H130" s="4"/>
      <c r="I130" s="4"/>
      <c r="J130" s="4"/>
      <c r="K130" s="4"/>
    </row>
    <row r="131" spans="1:11" ht="15.75" x14ac:dyDescent="0.25">
      <c r="A131" s="2" t="s">
        <v>429</v>
      </c>
      <c r="G131" s="4"/>
      <c r="H131" s="4"/>
      <c r="I131" s="4"/>
      <c r="J131" s="4"/>
      <c r="K131" s="4"/>
    </row>
    <row r="132" spans="1:11" ht="15.75" x14ac:dyDescent="0.25">
      <c r="A132" s="15" t="s">
        <v>138</v>
      </c>
      <c r="B132" s="33" t="s">
        <v>463</v>
      </c>
      <c r="C132" s="33"/>
      <c r="G132" s="4"/>
      <c r="H132" s="4"/>
      <c r="I132" s="4"/>
      <c r="J132" s="4"/>
      <c r="K132" s="4"/>
    </row>
    <row r="133" spans="1:11" ht="16.5" thickBot="1" x14ac:dyDescent="0.3">
      <c r="B133" s="20" t="s">
        <v>38</v>
      </c>
      <c r="G133" s="4"/>
      <c r="H133" s="4"/>
      <c r="I133" s="4"/>
      <c r="J133" s="4"/>
      <c r="K133" s="4"/>
    </row>
    <row r="134" spans="1:11" x14ac:dyDescent="0.2">
      <c r="A134" s="7" t="s">
        <v>434</v>
      </c>
      <c r="B134" s="21">
        <v>200</v>
      </c>
      <c r="C134" s="13" t="s">
        <v>10</v>
      </c>
      <c r="G134" s="4"/>
      <c r="H134" s="4"/>
      <c r="I134" s="4"/>
      <c r="J134" s="4"/>
      <c r="K134" s="4"/>
    </row>
    <row r="135" spans="1:11" x14ac:dyDescent="0.2">
      <c r="A135" s="7" t="s">
        <v>453</v>
      </c>
      <c r="B135" s="36">
        <v>70</v>
      </c>
      <c r="C135" s="13" t="s">
        <v>10</v>
      </c>
      <c r="G135" s="4"/>
      <c r="H135" s="4"/>
      <c r="I135" s="4"/>
      <c r="J135" s="4"/>
      <c r="K135" s="4"/>
    </row>
    <row r="136" spans="1:11" x14ac:dyDescent="0.2">
      <c r="A136" s="7" t="s">
        <v>467</v>
      </c>
      <c r="B136" s="36">
        <v>20</v>
      </c>
      <c r="C136" s="13" t="s">
        <v>90</v>
      </c>
      <c r="G136" s="4"/>
      <c r="H136" s="4"/>
      <c r="I136" s="4"/>
      <c r="J136" s="4"/>
      <c r="K136" s="4"/>
    </row>
    <row r="137" spans="1:11" x14ac:dyDescent="0.2">
      <c r="A137" s="7" t="s">
        <v>468</v>
      </c>
      <c r="B137" s="47">
        <v>0.125</v>
      </c>
      <c r="C137" s="13" t="s">
        <v>90</v>
      </c>
      <c r="D137" s="1" t="s">
        <v>19</v>
      </c>
      <c r="G137" s="4"/>
      <c r="H137" s="4"/>
      <c r="I137" s="4"/>
      <c r="J137" s="4"/>
      <c r="K137" s="4"/>
    </row>
    <row r="138" spans="1:11" x14ac:dyDescent="0.2">
      <c r="A138" s="7" t="s">
        <v>172</v>
      </c>
      <c r="B138" s="36">
        <v>174</v>
      </c>
      <c r="C138" s="13" t="s">
        <v>29</v>
      </c>
      <c r="G138" s="4"/>
      <c r="H138" s="4"/>
      <c r="I138" s="4"/>
      <c r="J138" s="4"/>
      <c r="K138" s="4"/>
    </row>
    <row r="139" spans="1:11" x14ac:dyDescent="0.2">
      <c r="A139" s="7" t="s">
        <v>280</v>
      </c>
      <c r="B139" s="36">
        <v>5.7</v>
      </c>
      <c r="C139" s="5" t="s">
        <v>73</v>
      </c>
      <c r="G139" s="4"/>
      <c r="H139" s="4"/>
      <c r="I139" s="4"/>
      <c r="J139" s="4"/>
      <c r="K139" s="4"/>
    </row>
    <row r="140" spans="1:11" x14ac:dyDescent="0.2">
      <c r="A140" s="7" t="s">
        <v>430</v>
      </c>
      <c r="B140" s="47">
        <v>0.75</v>
      </c>
      <c r="C140" s="13" t="s">
        <v>90</v>
      </c>
      <c r="G140" s="4"/>
      <c r="H140" s="4"/>
      <c r="I140" s="4"/>
      <c r="J140" s="4"/>
      <c r="K140" s="4"/>
    </row>
    <row r="141" spans="1:11" ht="16.5" thickBot="1" x14ac:dyDescent="0.3">
      <c r="A141" s="7" t="s">
        <v>160</v>
      </c>
      <c r="B141" s="22">
        <v>40</v>
      </c>
      <c r="G141" s="3"/>
      <c r="H141" s="25"/>
      <c r="I141" s="4"/>
      <c r="J141" s="4"/>
      <c r="K141" s="4"/>
    </row>
    <row r="142" spans="1:11" ht="15.75" x14ac:dyDescent="0.25">
      <c r="B142" s="20" t="s">
        <v>39</v>
      </c>
      <c r="F142" s="12" t="s">
        <v>125</v>
      </c>
      <c r="G142" s="3"/>
      <c r="H142" s="26"/>
      <c r="I142" s="27"/>
      <c r="J142" s="4"/>
      <c r="K142" s="4"/>
    </row>
    <row r="143" spans="1:11" ht="15.75" x14ac:dyDescent="0.25">
      <c r="A143" s="15" t="s">
        <v>467</v>
      </c>
      <c r="B143" s="23">
        <f>0.0254*B136</f>
        <v>0.50800000000000001</v>
      </c>
      <c r="C143" s="12" t="s">
        <v>58</v>
      </c>
      <c r="G143" s="24"/>
      <c r="H143" s="58"/>
      <c r="I143" s="30"/>
      <c r="J143" s="4"/>
      <c r="K143" s="4"/>
    </row>
    <row r="144" spans="1:11" ht="15.75" x14ac:dyDescent="0.25">
      <c r="A144" s="15" t="s">
        <v>468</v>
      </c>
      <c r="B144" s="51">
        <f>0.0254*B137</f>
        <v>3.1749999999999999E-3</v>
      </c>
      <c r="C144" s="12" t="s">
        <v>58</v>
      </c>
      <c r="G144" s="24"/>
      <c r="H144" s="54"/>
      <c r="I144" s="30"/>
      <c r="J144" s="4"/>
      <c r="K144" s="4"/>
    </row>
    <row r="145" spans="1:11" ht="15.75" x14ac:dyDescent="0.25">
      <c r="A145" s="15" t="s">
        <v>469</v>
      </c>
      <c r="B145" s="12" t="s">
        <v>159</v>
      </c>
      <c r="C145" s="12" t="s">
        <v>157</v>
      </c>
      <c r="G145" s="4"/>
      <c r="H145" s="4"/>
      <c r="I145" s="4"/>
      <c r="J145" s="4"/>
      <c r="K145" s="4"/>
    </row>
    <row r="146" spans="1:11" ht="15.75" x14ac:dyDescent="0.25">
      <c r="A146" s="15" t="s">
        <v>16</v>
      </c>
      <c r="B146" s="78">
        <f>B144*B143</f>
        <v>1.6129E-3</v>
      </c>
      <c r="C146" s="12" t="s">
        <v>157</v>
      </c>
      <c r="G146" s="4"/>
      <c r="H146" s="4"/>
      <c r="I146" s="4"/>
      <c r="J146" s="4"/>
      <c r="K146" s="4"/>
    </row>
    <row r="147" spans="1:11" ht="15.75" x14ac:dyDescent="0.25">
      <c r="A147" s="15" t="s">
        <v>431</v>
      </c>
      <c r="B147" s="12" t="s">
        <v>432</v>
      </c>
      <c r="G147" s="4"/>
      <c r="H147" s="4"/>
      <c r="I147" s="4"/>
      <c r="J147" s="4"/>
      <c r="K147" s="4"/>
    </row>
    <row r="148" spans="1:11" ht="15.75" x14ac:dyDescent="0.25">
      <c r="A148" s="15" t="s">
        <v>433</v>
      </c>
      <c r="B148" s="12">
        <f>B134-B135</f>
        <v>130</v>
      </c>
      <c r="C148" s="12" t="s">
        <v>10</v>
      </c>
      <c r="G148" s="4"/>
      <c r="H148" s="4"/>
      <c r="I148" s="4"/>
      <c r="J148" s="4"/>
      <c r="K148" s="4"/>
    </row>
    <row r="149" spans="1:11" ht="15.75" x14ac:dyDescent="0.25">
      <c r="A149" s="15" t="s">
        <v>433</v>
      </c>
      <c r="B149" s="34">
        <f>5*(B148-32)/9</f>
        <v>54.444444444444443</v>
      </c>
      <c r="C149" s="12" t="s">
        <v>8</v>
      </c>
      <c r="G149" s="4"/>
      <c r="H149" s="4"/>
      <c r="I149" s="4"/>
      <c r="J149" s="4"/>
      <c r="K149" s="4"/>
    </row>
    <row r="150" spans="1:11" ht="15.75" x14ac:dyDescent="0.25">
      <c r="A150" s="15" t="s">
        <v>161</v>
      </c>
      <c r="B150" s="12" t="s">
        <v>464</v>
      </c>
      <c r="G150" s="4"/>
      <c r="H150" s="4"/>
      <c r="I150" s="4"/>
      <c r="J150" s="4"/>
      <c r="K150" s="4"/>
    </row>
    <row r="151" spans="1:11" ht="15.75" x14ac:dyDescent="0.25">
      <c r="A151" s="15" t="s">
        <v>470</v>
      </c>
      <c r="B151" s="34">
        <f>(2*B139/(B138*B144))^0.5</f>
        <v>4.5426150635433356</v>
      </c>
      <c r="C151" s="33"/>
      <c r="G151" s="4"/>
      <c r="H151" s="4"/>
      <c r="I151" s="4"/>
      <c r="J151" s="4"/>
      <c r="K151" s="4"/>
    </row>
    <row r="152" spans="1:11" ht="15.75" x14ac:dyDescent="0.25">
      <c r="A152" s="15" t="s">
        <v>471</v>
      </c>
      <c r="B152" s="51">
        <f>B139/(B151*B138)</f>
        <v>7.2114014133750435E-3</v>
      </c>
      <c r="G152" s="4"/>
      <c r="H152" s="4"/>
      <c r="I152" s="4"/>
      <c r="J152" s="4"/>
      <c r="K152" s="4"/>
    </row>
    <row r="153" spans="1:11" ht="15.75" x14ac:dyDescent="0.25">
      <c r="A153" s="15" t="s">
        <v>23</v>
      </c>
      <c r="B153" s="23">
        <f>0.0254*B140</f>
        <v>1.9049999999999997E-2</v>
      </c>
      <c r="C153" s="12" t="s">
        <v>58</v>
      </c>
      <c r="F153" s="12"/>
      <c r="G153" s="4"/>
      <c r="H153" s="4"/>
      <c r="I153" s="4"/>
      <c r="J153" s="4"/>
      <c r="K153" s="4"/>
    </row>
    <row r="154" spans="1:11" ht="15.75" x14ac:dyDescent="0.25">
      <c r="A154" s="15" t="s">
        <v>435</v>
      </c>
      <c r="B154" s="23">
        <f>B151*B153</f>
        <v>8.6536816960500529E-2</v>
      </c>
      <c r="G154" s="4"/>
      <c r="H154" s="4"/>
      <c r="I154" s="4"/>
      <c r="J154" s="4"/>
      <c r="K154" s="4"/>
    </row>
    <row r="155" spans="1:11" ht="15.75" x14ac:dyDescent="0.25">
      <c r="A155" s="15" t="s">
        <v>436</v>
      </c>
      <c r="B155" s="23">
        <f>SINH(B154)</f>
        <v>8.6644864308498354E-2</v>
      </c>
      <c r="G155" s="4"/>
      <c r="H155" s="4"/>
      <c r="I155" s="4"/>
      <c r="J155" s="4"/>
      <c r="K155" s="4"/>
    </row>
    <row r="156" spans="1:11" ht="15.75" x14ac:dyDescent="0.25">
      <c r="A156" s="15" t="s">
        <v>437</v>
      </c>
      <c r="B156" s="23">
        <f>COSH(B154)</f>
        <v>1.0037466475715067</v>
      </c>
      <c r="G156" s="4"/>
      <c r="H156" s="4"/>
      <c r="I156" s="4"/>
      <c r="J156" s="4"/>
      <c r="K156" s="4"/>
    </row>
    <row r="157" spans="1:11" ht="15.75" x14ac:dyDescent="0.25">
      <c r="A157" s="15" t="s">
        <v>162</v>
      </c>
      <c r="B157" s="33" t="s">
        <v>164</v>
      </c>
      <c r="C157" s="33"/>
      <c r="D157" s="33"/>
      <c r="G157" s="4"/>
      <c r="H157" s="4"/>
      <c r="I157" s="4"/>
      <c r="J157" s="4"/>
      <c r="K157" s="4"/>
    </row>
    <row r="158" spans="1:11" ht="15.75" x14ac:dyDescent="0.25">
      <c r="A158" s="15" t="s">
        <v>162</v>
      </c>
      <c r="B158" s="51">
        <f>(B155*+((B152)*B156))</f>
        <v>6.2717191809860153E-4</v>
      </c>
      <c r="C158" s="33"/>
      <c r="D158" s="33"/>
      <c r="G158" s="4"/>
      <c r="H158" s="4"/>
      <c r="I158" s="4"/>
      <c r="J158" s="4"/>
      <c r="K158" s="4"/>
    </row>
    <row r="159" spans="1:11" ht="15.75" x14ac:dyDescent="0.25">
      <c r="A159" s="15" t="s">
        <v>163</v>
      </c>
      <c r="B159" s="2" t="s">
        <v>165</v>
      </c>
      <c r="C159" s="33"/>
      <c r="D159" s="33"/>
      <c r="E159" s="1" t="s">
        <v>19</v>
      </c>
      <c r="G159" s="4"/>
      <c r="H159" s="4"/>
      <c r="I159" s="4"/>
      <c r="J159" s="4"/>
      <c r="K159" s="4"/>
    </row>
    <row r="160" spans="1:11" ht="15.75" x14ac:dyDescent="0.25">
      <c r="A160" s="15" t="s">
        <v>472</v>
      </c>
      <c r="B160" s="51">
        <f>((B156)+(B152*B155))</f>
        <v>1.0043714784684428</v>
      </c>
      <c r="C160" s="33"/>
      <c r="D160" s="33"/>
      <c r="G160" s="4"/>
      <c r="H160" s="4"/>
      <c r="I160" s="4"/>
      <c r="J160" s="4"/>
      <c r="K160" s="4"/>
    </row>
    <row r="161" spans="1:11" ht="15.75" x14ac:dyDescent="0.25">
      <c r="A161" s="15" t="s">
        <v>14</v>
      </c>
      <c r="B161" s="33" t="s">
        <v>465</v>
      </c>
      <c r="C161" s="33"/>
      <c r="D161" s="33"/>
      <c r="G161" s="4"/>
      <c r="H161" s="4"/>
      <c r="I161" s="4"/>
      <c r="J161" s="4"/>
      <c r="K161" s="4"/>
    </row>
    <row r="162" spans="1:11" ht="15.75" x14ac:dyDescent="0.25">
      <c r="A162" s="15" t="s">
        <v>156</v>
      </c>
      <c r="B162" s="23">
        <f>B141*((B138*B146*B151*B149)*(B158/B160))</f>
        <v>1.7336779349523135</v>
      </c>
      <c r="C162" s="12" t="s">
        <v>26</v>
      </c>
      <c r="G162" s="4"/>
      <c r="H162" s="4"/>
      <c r="I162" s="4"/>
      <c r="J162" s="4"/>
      <c r="K162" s="4"/>
    </row>
    <row r="163" spans="1:11" ht="15.75" x14ac:dyDescent="0.25">
      <c r="A163" s="2" t="s">
        <v>438</v>
      </c>
      <c r="G163" s="4"/>
      <c r="H163" s="4"/>
      <c r="I163" s="4"/>
      <c r="J163" s="4"/>
      <c r="K163" s="4"/>
    </row>
    <row r="164" spans="1:11" ht="15.75" x14ac:dyDescent="0.25">
      <c r="A164" s="15" t="s">
        <v>158</v>
      </c>
      <c r="B164" s="79">
        <f>TANH(B154)</f>
        <v>8.6321448263991157E-2</v>
      </c>
      <c r="C164" s="33"/>
      <c r="G164" s="4"/>
      <c r="H164" s="4"/>
      <c r="I164" s="4"/>
      <c r="J164" s="4"/>
      <c r="K164" s="4"/>
    </row>
    <row r="165" spans="1:11" ht="15.75" x14ac:dyDescent="0.25">
      <c r="A165" s="15" t="s">
        <v>138</v>
      </c>
      <c r="B165" s="33" t="s">
        <v>466</v>
      </c>
      <c r="G165" s="4"/>
      <c r="H165" s="4"/>
      <c r="I165" s="4"/>
      <c r="J165" s="4"/>
      <c r="K165" s="4"/>
    </row>
    <row r="166" spans="1:11" ht="15.75" x14ac:dyDescent="0.25">
      <c r="A166" s="15" t="s">
        <v>156</v>
      </c>
      <c r="B166" s="34">
        <f>B141*(B138*B146*B151*B149)*B164</f>
        <v>239.65964240115213</v>
      </c>
      <c r="C166" s="12" t="s">
        <v>26</v>
      </c>
      <c r="G166" s="4"/>
      <c r="H166" s="4"/>
      <c r="I166" s="4"/>
      <c r="J166" s="4"/>
      <c r="K166" s="4"/>
    </row>
    <row r="167" spans="1:11" x14ac:dyDescent="0.2">
      <c r="G167" s="4"/>
      <c r="H167" s="4"/>
      <c r="I167" s="4"/>
      <c r="J167" s="4"/>
      <c r="K167" s="4"/>
    </row>
    <row r="168" spans="1:11" x14ac:dyDescent="0.2">
      <c r="G168" s="4"/>
      <c r="H168" s="4"/>
      <c r="I168" s="4"/>
      <c r="J168" s="4"/>
      <c r="K168" s="4"/>
    </row>
    <row r="169" spans="1:11" x14ac:dyDescent="0.2">
      <c r="G169" s="4"/>
      <c r="H169" s="4"/>
      <c r="I169" s="4"/>
      <c r="J169" s="4"/>
      <c r="K169" s="4"/>
    </row>
    <row r="170" spans="1:11" x14ac:dyDescent="0.2">
      <c r="G170" s="4"/>
      <c r="H170" s="4"/>
      <c r="I170" s="4"/>
      <c r="J170" s="4"/>
      <c r="K170" s="4"/>
    </row>
    <row r="171" spans="1:11" ht="15.75" x14ac:dyDescent="0.25">
      <c r="A171" s="2" t="s">
        <v>440</v>
      </c>
      <c r="G171" s="4"/>
      <c r="H171" s="4"/>
      <c r="I171" s="4"/>
      <c r="J171" s="4"/>
      <c r="K171" s="4"/>
    </row>
    <row r="172" spans="1:11" ht="15.75" x14ac:dyDescent="0.25">
      <c r="A172" s="2" t="s">
        <v>499</v>
      </c>
      <c r="B172" s="13"/>
      <c r="C172" s="13"/>
      <c r="G172" s="4"/>
      <c r="H172" s="4"/>
      <c r="I172" s="4"/>
      <c r="J172" s="4"/>
      <c r="K172" s="4"/>
    </row>
    <row r="173" spans="1:11" ht="16.5" thickBot="1" x14ac:dyDescent="0.3">
      <c r="B173" s="20" t="s">
        <v>38</v>
      </c>
      <c r="G173" s="4"/>
      <c r="H173" s="4"/>
      <c r="I173" s="4"/>
      <c r="J173" s="4"/>
      <c r="K173" s="4"/>
    </row>
    <row r="174" spans="1:11" x14ac:dyDescent="0.2">
      <c r="A174" s="7" t="s">
        <v>428</v>
      </c>
      <c r="B174" s="21">
        <v>20</v>
      </c>
      <c r="C174" s="13" t="s">
        <v>8</v>
      </c>
      <c r="G174" s="4"/>
      <c r="H174" s="4"/>
      <c r="I174" s="4"/>
      <c r="J174" s="4"/>
      <c r="K174" s="4"/>
    </row>
    <row r="175" spans="1:11" x14ac:dyDescent="0.2">
      <c r="A175" s="7" t="s">
        <v>172</v>
      </c>
      <c r="B175" s="37">
        <v>4</v>
      </c>
      <c r="C175" s="13" t="s">
        <v>500</v>
      </c>
      <c r="G175" s="4"/>
      <c r="H175" s="4"/>
      <c r="I175" s="4"/>
      <c r="J175" s="4"/>
      <c r="K175" s="4"/>
    </row>
    <row r="176" spans="1:11" x14ac:dyDescent="0.2">
      <c r="A176" s="7" t="s">
        <v>280</v>
      </c>
      <c r="B176" s="37">
        <v>9</v>
      </c>
      <c r="C176" s="5" t="s">
        <v>73</v>
      </c>
      <c r="G176" s="4"/>
      <c r="H176" s="4"/>
      <c r="I176" s="4"/>
      <c r="J176" s="4"/>
      <c r="K176" s="4"/>
    </row>
    <row r="177" spans="1:11" x14ac:dyDescent="0.2">
      <c r="A177" s="7" t="s">
        <v>467</v>
      </c>
      <c r="B177" s="37">
        <v>30</v>
      </c>
      <c r="C177" s="13" t="s">
        <v>90</v>
      </c>
      <c r="G177" s="4"/>
      <c r="H177" s="4"/>
      <c r="I177" s="4"/>
      <c r="J177" s="4"/>
      <c r="K177" s="4"/>
    </row>
    <row r="178" spans="1:11" x14ac:dyDescent="0.2">
      <c r="A178" s="7" t="s">
        <v>468</v>
      </c>
      <c r="B178" s="47">
        <v>0.08</v>
      </c>
      <c r="C178" s="13" t="s">
        <v>90</v>
      </c>
      <c r="D178" s="1" t="s">
        <v>19</v>
      </c>
      <c r="G178" s="4"/>
      <c r="H178" s="4"/>
      <c r="I178" s="4"/>
      <c r="J178" s="4"/>
      <c r="K178" s="4"/>
    </row>
    <row r="179" spans="1:11" ht="15.75" thickBot="1" x14ac:dyDescent="0.25">
      <c r="A179" s="7" t="s">
        <v>430</v>
      </c>
      <c r="B179" s="48">
        <v>0.75</v>
      </c>
      <c r="C179" s="13" t="s">
        <v>90</v>
      </c>
      <c r="G179" s="4"/>
      <c r="H179" s="4"/>
      <c r="I179" s="4"/>
      <c r="J179" s="4"/>
      <c r="K179" s="4"/>
    </row>
    <row r="180" spans="1:11" ht="15.75" x14ac:dyDescent="0.25">
      <c r="B180" s="20" t="s">
        <v>39</v>
      </c>
      <c r="G180" s="4"/>
      <c r="H180" s="4"/>
      <c r="I180" s="4"/>
      <c r="J180" s="4"/>
      <c r="K180" s="4"/>
    </row>
    <row r="181" spans="1:11" ht="15.75" x14ac:dyDescent="0.25">
      <c r="A181" s="15" t="s">
        <v>505</v>
      </c>
      <c r="B181" s="23">
        <f>0.0254*B177</f>
        <v>0.76200000000000001</v>
      </c>
      <c r="C181" s="12" t="s">
        <v>58</v>
      </c>
      <c r="G181" s="4"/>
      <c r="H181" s="4"/>
      <c r="I181" s="4"/>
      <c r="J181" s="4"/>
      <c r="K181" s="4"/>
    </row>
    <row r="182" spans="1:11" ht="15.75" x14ac:dyDescent="0.25">
      <c r="A182" s="15" t="s">
        <v>506</v>
      </c>
      <c r="B182" s="51">
        <f>0.0254*B178</f>
        <v>2.032E-3</v>
      </c>
      <c r="C182" s="12" t="s">
        <v>58</v>
      </c>
      <c r="G182" s="4"/>
      <c r="H182" s="4"/>
      <c r="I182" s="4"/>
      <c r="J182" s="4"/>
      <c r="K182" s="4"/>
    </row>
    <row r="183" spans="1:11" ht="15.75" x14ac:dyDescent="0.25">
      <c r="A183" s="15" t="s">
        <v>512</v>
      </c>
      <c r="B183" s="12" t="s">
        <v>159</v>
      </c>
      <c r="C183" s="12" t="s">
        <v>157</v>
      </c>
      <c r="G183" s="4"/>
      <c r="H183" s="4"/>
      <c r="I183" s="4"/>
      <c r="J183" s="4"/>
      <c r="K183" s="4"/>
    </row>
    <row r="184" spans="1:11" ht="15.75" x14ac:dyDescent="0.25">
      <c r="A184" s="15" t="s">
        <v>166</v>
      </c>
      <c r="B184" s="78">
        <f>B182*B181</f>
        <v>1.5483840000000001E-3</v>
      </c>
      <c r="C184" s="12" t="s">
        <v>157</v>
      </c>
      <c r="G184" s="4"/>
      <c r="H184" s="4"/>
      <c r="I184" s="4"/>
      <c r="J184" s="4"/>
      <c r="K184" s="4"/>
    </row>
    <row r="185" spans="1:11" ht="15.75" x14ac:dyDescent="0.25">
      <c r="A185" s="15" t="s">
        <v>507</v>
      </c>
      <c r="B185" s="12">
        <f>0.0254*B179</f>
        <v>1.9049999999999997E-2</v>
      </c>
      <c r="C185" s="12" t="s">
        <v>58</v>
      </c>
      <c r="G185" s="4"/>
      <c r="H185" s="4"/>
      <c r="I185" s="4"/>
      <c r="J185" s="4"/>
      <c r="K185" s="4"/>
    </row>
    <row r="186" spans="1:11" ht="15.75" x14ac:dyDescent="0.25">
      <c r="A186" s="15" t="s">
        <v>515</v>
      </c>
      <c r="B186" s="12" t="s">
        <v>516</v>
      </c>
      <c r="G186" s="4"/>
      <c r="H186" s="4"/>
      <c r="I186" s="4"/>
      <c r="J186" s="4"/>
      <c r="K186" s="4"/>
    </row>
    <row r="187" spans="1:11" ht="15.75" x14ac:dyDescent="0.25">
      <c r="A187" s="15" t="s">
        <v>509</v>
      </c>
      <c r="B187" s="78">
        <f>2*B185*B181</f>
        <v>2.9032199999999998E-2</v>
      </c>
      <c r="C187" s="12" t="s">
        <v>157</v>
      </c>
      <c r="G187" s="4"/>
      <c r="H187" s="4"/>
      <c r="I187" s="4"/>
      <c r="J187" s="4"/>
      <c r="K187" s="4"/>
    </row>
    <row r="188" spans="1:11" ht="15.75" x14ac:dyDescent="0.25">
      <c r="A188" s="15" t="s">
        <v>254</v>
      </c>
      <c r="B188" s="12" t="s">
        <v>175</v>
      </c>
      <c r="G188" s="4"/>
      <c r="H188" s="4"/>
      <c r="I188" s="4"/>
      <c r="J188" s="4"/>
      <c r="K188" s="4"/>
    </row>
    <row r="189" spans="1:11" ht="15.75" x14ac:dyDescent="0.25">
      <c r="A189" s="15" t="s">
        <v>508</v>
      </c>
      <c r="B189" s="51">
        <f>2*(B181+B182)</f>
        <v>1.5280640000000001</v>
      </c>
      <c r="C189" s="12" t="s">
        <v>58</v>
      </c>
      <c r="G189" s="4"/>
      <c r="H189" s="4"/>
      <c r="I189" s="4"/>
      <c r="J189" s="4"/>
      <c r="K189" s="4"/>
    </row>
    <row r="190" spans="1:11" ht="15.75" x14ac:dyDescent="0.25">
      <c r="A190" s="15"/>
      <c r="B190" s="2"/>
      <c r="C190" s="13"/>
      <c r="G190" s="4"/>
      <c r="H190" s="4"/>
      <c r="I190" s="4"/>
      <c r="J190" s="4"/>
      <c r="K190" s="4"/>
    </row>
    <row r="191" spans="1:11" ht="15.75" x14ac:dyDescent="0.25">
      <c r="A191" s="15" t="s">
        <v>72</v>
      </c>
      <c r="B191" s="12" t="s">
        <v>513</v>
      </c>
      <c r="G191" s="4"/>
      <c r="H191" s="4"/>
      <c r="I191" s="4"/>
      <c r="J191" s="4"/>
      <c r="K191" s="4"/>
    </row>
    <row r="192" spans="1:11" ht="15.75" x14ac:dyDescent="0.25">
      <c r="A192" s="15" t="s">
        <v>72</v>
      </c>
      <c r="B192" s="34">
        <f>(B176*B189/(B175*B184))^0.5</f>
        <v>47.121889191169764</v>
      </c>
      <c r="G192" s="4"/>
      <c r="H192" s="4"/>
      <c r="I192" s="4"/>
      <c r="J192" s="4"/>
      <c r="K192" s="4"/>
    </row>
    <row r="193" spans="1:11" ht="15.75" x14ac:dyDescent="0.25">
      <c r="A193" s="15" t="s">
        <v>435</v>
      </c>
      <c r="B193" s="51">
        <f>B192*B185</f>
        <v>0.89767198909178392</v>
      </c>
      <c r="F193" s="12" t="s">
        <v>126</v>
      </c>
      <c r="G193" s="4"/>
      <c r="H193" s="4"/>
      <c r="I193" s="4"/>
      <c r="J193" s="4"/>
      <c r="K193" s="4"/>
    </row>
    <row r="194" spans="1:11" x14ac:dyDescent="0.2">
      <c r="G194" s="4"/>
      <c r="H194" s="4"/>
      <c r="I194" s="4"/>
      <c r="J194" s="4"/>
      <c r="K194" s="4"/>
    </row>
    <row r="195" spans="1:11" ht="15.75" x14ac:dyDescent="0.25">
      <c r="A195" s="15" t="s">
        <v>439</v>
      </c>
      <c r="B195" s="80" t="s">
        <v>501</v>
      </c>
      <c r="G195" s="4"/>
      <c r="H195" s="4"/>
      <c r="I195" s="4"/>
      <c r="J195" s="4"/>
      <c r="K195" s="4"/>
    </row>
    <row r="196" spans="1:11" x14ac:dyDescent="0.2">
      <c r="G196" s="4"/>
      <c r="H196" s="4"/>
      <c r="I196" s="4"/>
      <c r="J196" s="4"/>
      <c r="K196" s="4"/>
    </row>
    <row r="197" spans="1:11" ht="15.75" x14ac:dyDescent="0.25">
      <c r="A197" s="15" t="s">
        <v>174</v>
      </c>
      <c r="B197" s="2" t="s">
        <v>173</v>
      </c>
      <c r="G197" s="4"/>
      <c r="H197" s="4"/>
      <c r="I197" s="4"/>
      <c r="J197" s="4"/>
      <c r="K197" s="4"/>
    </row>
    <row r="198" spans="1:11" ht="15.75" x14ac:dyDescent="0.25">
      <c r="A198" s="15" t="s">
        <v>504</v>
      </c>
      <c r="B198" s="33" t="s">
        <v>502</v>
      </c>
      <c r="G198" s="4"/>
      <c r="H198" s="4"/>
      <c r="I198" s="4"/>
      <c r="J198" s="4"/>
      <c r="K198" s="4"/>
    </row>
    <row r="199" spans="1:11" x14ac:dyDescent="0.2">
      <c r="A199" s="7"/>
      <c r="G199" s="4"/>
      <c r="H199" s="4"/>
      <c r="I199" s="4"/>
      <c r="J199" s="4"/>
      <c r="K199" s="4"/>
    </row>
    <row r="200" spans="1:11" ht="15.75" x14ac:dyDescent="0.25">
      <c r="A200" s="15" t="s">
        <v>170</v>
      </c>
      <c r="B200" s="33" t="s">
        <v>503</v>
      </c>
      <c r="C200" s="12"/>
      <c r="G200" s="4"/>
      <c r="H200" s="4"/>
      <c r="I200" s="4"/>
      <c r="J200" s="4"/>
      <c r="K200" s="4"/>
    </row>
    <row r="201" spans="1:11" ht="15.75" x14ac:dyDescent="0.25">
      <c r="A201" s="15" t="s">
        <v>510</v>
      </c>
      <c r="B201" s="23">
        <f>(B176*B189*B175*B184)^0.5*B174*(TANH(B193))</f>
        <v>4.1744190815064695</v>
      </c>
      <c r="C201" s="12" t="s">
        <v>26</v>
      </c>
      <c r="G201" s="4"/>
      <c r="H201" s="4"/>
      <c r="I201" s="4"/>
      <c r="J201" s="4"/>
      <c r="K201" s="4"/>
    </row>
    <row r="202" spans="1:11" ht="15.75" x14ac:dyDescent="0.25">
      <c r="A202" s="15" t="s">
        <v>168</v>
      </c>
      <c r="B202" s="12" t="s">
        <v>514</v>
      </c>
      <c r="C202" s="33"/>
      <c r="G202" s="4"/>
      <c r="H202" s="4"/>
      <c r="I202" s="4"/>
      <c r="J202" s="4"/>
      <c r="K202" s="4"/>
    </row>
    <row r="203" spans="1:11" ht="15.75" x14ac:dyDescent="0.25">
      <c r="A203" s="15" t="s">
        <v>511</v>
      </c>
      <c r="B203" s="23">
        <f>B176*B187*B174</f>
        <v>5.225795999999999</v>
      </c>
      <c r="C203" s="12" t="s">
        <v>26</v>
      </c>
      <c r="G203" s="4"/>
      <c r="H203" s="4"/>
      <c r="I203" s="4"/>
      <c r="J203" s="4"/>
      <c r="K203" s="4"/>
    </row>
    <row r="204" spans="1:11" ht="15.75" x14ac:dyDescent="0.25">
      <c r="A204" s="15" t="s">
        <v>167</v>
      </c>
      <c r="B204" s="12" t="s">
        <v>169</v>
      </c>
      <c r="G204" s="4"/>
      <c r="H204" s="4"/>
      <c r="I204" s="4"/>
      <c r="J204" s="4"/>
      <c r="K204" s="4"/>
    </row>
    <row r="205" spans="1:11" ht="15.75" x14ac:dyDescent="0.25">
      <c r="A205" s="15" t="s">
        <v>171</v>
      </c>
      <c r="B205" s="57">
        <f>100*B201/B203</f>
        <v>79.881018729136585</v>
      </c>
      <c r="C205" s="12" t="s">
        <v>604</v>
      </c>
      <c r="D205" s="33"/>
      <c r="G205" s="4"/>
      <c r="H205" s="4"/>
      <c r="I205" s="4"/>
      <c r="J205" s="4"/>
      <c r="K205" s="4"/>
    </row>
    <row r="206" spans="1:11" x14ac:dyDescent="0.2">
      <c r="G206" s="4"/>
      <c r="H206" s="4"/>
      <c r="I206" s="4"/>
      <c r="J206" s="4"/>
      <c r="K206" s="4"/>
    </row>
    <row r="207" spans="1:11" x14ac:dyDescent="0.2">
      <c r="G207" s="4"/>
      <c r="H207" s="4"/>
      <c r="I207" s="4"/>
      <c r="J207" s="4"/>
      <c r="K207" s="4"/>
    </row>
    <row r="208" spans="1:11" x14ac:dyDescent="0.2">
      <c r="G208" s="4"/>
      <c r="H208" s="4"/>
      <c r="I208" s="4"/>
      <c r="J208" s="4"/>
      <c r="K208" s="4"/>
    </row>
    <row r="209" spans="1:11" x14ac:dyDescent="0.2">
      <c r="G209" s="4"/>
      <c r="H209" s="4"/>
      <c r="I209" s="4"/>
      <c r="J209" s="4"/>
      <c r="K209" s="4"/>
    </row>
    <row r="210" spans="1:11" x14ac:dyDescent="0.2">
      <c r="G210" s="4"/>
      <c r="H210" s="4"/>
      <c r="I210" s="4"/>
      <c r="J210" s="4"/>
      <c r="K210" s="4"/>
    </row>
    <row r="211" spans="1:11" x14ac:dyDescent="0.2">
      <c r="G211" s="4"/>
      <c r="H211" s="4"/>
      <c r="I211" s="4"/>
      <c r="J211" s="4"/>
      <c r="K211" s="4"/>
    </row>
    <row r="212" spans="1:11" x14ac:dyDescent="0.2">
      <c r="G212" s="4"/>
      <c r="H212" s="4"/>
      <c r="I212" s="4"/>
      <c r="J212" s="4"/>
      <c r="K212" s="4"/>
    </row>
    <row r="213" spans="1:11" x14ac:dyDescent="0.2">
      <c r="G213" s="4"/>
      <c r="H213" s="4"/>
      <c r="I213" s="4"/>
      <c r="J213" s="4"/>
      <c r="K213" s="4"/>
    </row>
    <row r="214" spans="1:11" x14ac:dyDescent="0.2">
      <c r="G214" s="4"/>
      <c r="H214" s="4"/>
      <c r="I214" s="4"/>
      <c r="J214" s="4"/>
      <c r="K214" s="4"/>
    </row>
    <row r="215" spans="1:11" x14ac:dyDescent="0.2">
      <c r="G215" s="4"/>
      <c r="H215" s="4"/>
      <c r="I215" s="4"/>
      <c r="J215" s="4"/>
      <c r="K215" s="4"/>
    </row>
    <row r="216" spans="1:11" ht="15.75" x14ac:dyDescent="0.25">
      <c r="A216" s="2"/>
      <c r="G216" s="4"/>
      <c r="H216" s="4"/>
      <c r="I216" s="4"/>
      <c r="J216" s="4"/>
      <c r="K216" s="4"/>
    </row>
    <row r="217" spans="1:11" x14ac:dyDescent="0.2">
      <c r="G217" s="4"/>
      <c r="H217" s="4"/>
      <c r="I217" s="4"/>
      <c r="J217" s="4"/>
      <c r="K217" s="4"/>
    </row>
    <row r="218" spans="1:11" x14ac:dyDescent="0.2">
      <c r="G218" s="4"/>
      <c r="H218" s="4"/>
      <c r="I218" s="4"/>
      <c r="J218" s="4"/>
      <c r="K218" s="4"/>
    </row>
    <row r="219" spans="1:11" x14ac:dyDescent="0.2">
      <c r="G219" s="4"/>
      <c r="H219" s="4"/>
      <c r="I219" s="4"/>
      <c r="J219" s="4"/>
      <c r="K219" s="4"/>
    </row>
    <row r="220" spans="1:11" x14ac:dyDescent="0.2">
      <c r="G220" s="4"/>
      <c r="H220" s="4"/>
      <c r="I220" s="4"/>
      <c r="J220" s="4"/>
      <c r="K220" s="4"/>
    </row>
    <row r="221" spans="1:11" ht="15.75" x14ac:dyDescent="0.25">
      <c r="A221" s="2" t="s">
        <v>594</v>
      </c>
      <c r="G221" s="4"/>
      <c r="H221" s="4"/>
      <c r="I221" s="4"/>
      <c r="J221" s="4"/>
      <c r="K221" s="4"/>
    </row>
    <row r="222" spans="1:11" x14ac:dyDescent="0.2">
      <c r="G222" s="4"/>
      <c r="H222" s="4"/>
      <c r="I222" s="4"/>
      <c r="J222" s="4"/>
      <c r="K222" s="4"/>
    </row>
    <row r="223" spans="1:11" x14ac:dyDescent="0.2">
      <c r="G223" s="4"/>
      <c r="H223" s="4"/>
      <c r="I223" s="4"/>
      <c r="J223" s="4"/>
      <c r="K223" s="4"/>
    </row>
    <row r="224" spans="1:11" x14ac:dyDescent="0.2">
      <c r="G224" s="4"/>
      <c r="H224" s="4"/>
      <c r="I224" s="4"/>
      <c r="J224" s="4"/>
      <c r="K224" s="4"/>
    </row>
    <row r="225" spans="7:11" x14ac:dyDescent="0.2">
      <c r="G225" s="4"/>
      <c r="H225" s="4"/>
      <c r="I225" s="4"/>
      <c r="J225" s="4"/>
      <c r="K225" s="4"/>
    </row>
    <row r="226" spans="7:11" x14ac:dyDescent="0.2">
      <c r="G226" s="4"/>
      <c r="H226" s="4"/>
      <c r="I226" s="4"/>
      <c r="J226" s="4"/>
      <c r="K226" s="4"/>
    </row>
    <row r="227" spans="7:11" x14ac:dyDescent="0.2">
      <c r="G227" s="4"/>
      <c r="H227" s="4"/>
      <c r="I227" s="4"/>
      <c r="J227" s="4"/>
      <c r="K227" s="4"/>
    </row>
    <row r="228" spans="7:11" x14ac:dyDescent="0.2">
      <c r="G228" s="4"/>
      <c r="H228" s="4"/>
      <c r="I228" s="4"/>
      <c r="J228" s="4"/>
      <c r="K228" s="4"/>
    </row>
    <row r="229" spans="7:11" x14ac:dyDescent="0.2">
      <c r="G229" s="4"/>
      <c r="H229" s="4"/>
      <c r="I229" s="4"/>
      <c r="J229" s="4"/>
      <c r="K229" s="4"/>
    </row>
    <row r="230" spans="7:11" x14ac:dyDescent="0.2">
      <c r="G230" s="4"/>
      <c r="H230" s="4"/>
      <c r="I230" s="4"/>
      <c r="J230" s="4"/>
      <c r="K230" s="4"/>
    </row>
    <row r="231" spans="7:11" x14ac:dyDescent="0.2">
      <c r="G231" s="4"/>
      <c r="H231" s="4"/>
      <c r="I231" s="4"/>
      <c r="J231" s="4"/>
      <c r="K231" s="4"/>
    </row>
    <row r="232" spans="7:11" x14ac:dyDescent="0.2">
      <c r="G232" s="4"/>
      <c r="H232" s="4"/>
      <c r="I232" s="4"/>
      <c r="J232" s="4"/>
      <c r="K232" s="4"/>
    </row>
    <row r="233" spans="7:11" x14ac:dyDescent="0.2">
      <c r="G233" s="4"/>
      <c r="H233" s="4"/>
      <c r="I233" s="4"/>
      <c r="J233" s="4"/>
      <c r="K233" s="4"/>
    </row>
    <row r="234" spans="7:11" x14ac:dyDescent="0.2">
      <c r="G234" s="4"/>
      <c r="H234" s="4"/>
      <c r="I234" s="4"/>
      <c r="J234" s="4"/>
      <c r="K234" s="4"/>
    </row>
    <row r="235" spans="7:11" x14ac:dyDescent="0.2">
      <c r="G235" s="4"/>
      <c r="H235" s="4"/>
      <c r="I235" s="4"/>
      <c r="J235" s="4"/>
      <c r="K235" s="4"/>
    </row>
    <row r="236" spans="7:11" x14ac:dyDescent="0.2">
      <c r="G236" s="4"/>
      <c r="H236" s="4"/>
      <c r="I236" s="4"/>
      <c r="J236" s="4"/>
      <c r="K236" s="4"/>
    </row>
    <row r="237" spans="7:11" x14ac:dyDescent="0.2">
      <c r="G237" s="4"/>
      <c r="H237" s="4"/>
      <c r="I237" s="4"/>
      <c r="J237" s="4"/>
      <c r="K237" s="4"/>
    </row>
    <row r="238" spans="7:11" x14ac:dyDescent="0.2">
      <c r="G238" s="4"/>
      <c r="H238" s="4"/>
      <c r="I238" s="4"/>
      <c r="J238" s="4"/>
      <c r="K238" s="4"/>
    </row>
    <row r="239" spans="7:11" x14ac:dyDescent="0.2">
      <c r="G239" s="4"/>
      <c r="H239" s="4"/>
      <c r="I239" s="4"/>
      <c r="J239" s="4"/>
      <c r="K239" s="4"/>
    </row>
    <row r="240" spans="7:11" x14ac:dyDescent="0.2">
      <c r="G240" s="4"/>
      <c r="H240" s="4"/>
      <c r="I240" s="4"/>
      <c r="J240" s="4"/>
      <c r="K240" s="4"/>
    </row>
    <row r="241" spans="1:11" x14ac:dyDescent="0.2">
      <c r="G241" s="4"/>
      <c r="H241" s="4"/>
      <c r="I241" s="4"/>
      <c r="J241" s="4"/>
      <c r="K241" s="4"/>
    </row>
    <row r="242" spans="1:11" x14ac:dyDescent="0.2">
      <c r="G242" s="4"/>
      <c r="H242" s="4"/>
      <c r="I242" s="4"/>
      <c r="J242" s="4"/>
      <c r="K242" s="4"/>
    </row>
    <row r="243" spans="1:11" x14ac:dyDescent="0.2">
      <c r="G243" s="4"/>
      <c r="H243" s="4"/>
      <c r="I243" s="4"/>
      <c r="J243" s="4"/>
      <c r="K243" s="4"/>
    </row>
    <row r="244" spans="1:11" ht="15.75" x14ac:dyDescent="0.25">
      <c r="F244" s="12" t="s">
        <v>127</v>
      </c>
      <c r="G244" s="4"/>
      <c r="H244" s="4"/>
      <c r="I244" s="4"/>
      <c r="J244" s="4"/>
      <c r="K244" s="4"/>
    </row>
    <row r="245" spans="1:11" ht="15.75" x14ac:dyDescent="0.25">
      <c r="A245" s="15" t="s">
        <v>275</v>
      </c>
      <c r="B245" s="12" t="s">
        <v>573</v>
      </c>
      <c r="C245" s="13"/>
      <c r="G245" s="4"/>
      <c r="H245" s="4"/>
      <c r="I245" s="4"/>
      <c r="J245" s="4"/>
      <c r="K245" s="4"/>
    </row>
    <row r="246" spans="1:11" x14ac:dyDescent="0.2">
      <c r="A246" s="7"/>
      <c r="B246" s="13"/>
      <c r="C246" s="13"/>
      <c r="G246" s="4"/>
      <c r="H246" s="4"/>
      <c r="I246" s="4"/>
      <c r="J246" s="4"/>
      <c r="K246" s="4"/>
    </row>
    <row r="247" spans="1:11" ht="15.75" x14ac:dyDescent="0.25">
      <c r="A247" s="15" t="s">
        <v>570</v>
      </c>
      <c r="B247" s="2" t="s">
        <v>569</v>
      </c>
      <c r="C247" s="12"/>
      <c r="G247" s="4"/>
      <c r="H247" s="4"/>
      <c r="I247" s="4"/>
      <c r="J247" s="4"/>
      <c r="K247" s="4"/>
    </row>
    <row r="248" spans="1:11" x14ac:dyDescent="0.2">
      <c r="G248" s="4"/>
      <c r="H248" s="4"/>
      <c r="I248" s="4"/>
      <c r="J248" s="4"/>
      <c r="K248" s="4"/>
    </row>
    <row r="249" spans="1:11" ht="15.75" x14ac:dyDescent="0.25">
      <c r="A249" s="15" t="s">
        <v>571</v>
      </c>
      <c r="B249" s="33" t="s">
        <v>572</v>
      </c>
      <c r="G249" s="4"/>
      <c r="H249" s="4"/>
      <c r="I249" s="4"/>
      <c r="J249" s="4"/>
      <c r="K249" s="4"/>
    </row>
    <row r="250" spans="1:11" ht="15.75" x14ac:dyDescent="0.25">
      <c r="A250" s="2" t="s">
        <v>595</v>
      </c>
      <c r="G250" s="4"/>
      <c r="H250" s="4"/>
      <c r="I250" s="4"/>
      <c r="J250" s="4"/>
      <c r="K250" s="4"/>
    </row>
    <row r="251" spans="1:11" x14ac:dyDescent="0.2">
      <c r="G251" s="4"/>
      <c r="H251" s="4"/>
      <c r="I251" s="4"/>
      <c r="J251" s="4"/>
      <c r="K251" s="4"/>
    </row>
    <row r="252" spans="1:11" ht="15.75" x14ac:dyDescent="0.25">
      <c r="A252" s="15" t="s">
        <v>574</v>
      </c>
      <c r="B252" s="12" t="s">
        <v>131</v>
      </c>
      <c r="G252" s="24"/>
      <c r="H252" s="4"/>
      <c r="I252" s="4"/>
      <c r="J252" s="4"/>
      <c r="K252" s="4"/>
    </row>
    <row r="253" spans="1:11" ht="15.75" x14ac:dyDescent="0.25">
      <c r="A253" s="15" t="s">
        <v>605</v>
      </c>
      <c r="B253" s="12">
        <f>B264 - B267</f>
        <v>20</v>
      </c>
      <c r="C253" s="1" t="s">
        <v>607</v>
      </c>
      <c r="G253" s="4"/>
      <c r="H253" s="4"/>
      <c r="I253" s="4"/>
      <c r="J253" s="4"/>
      <c r="K253" s="4"/>
    </row>
    <row r="254" spans="1:11" ht="15.75" x14ac:dyDescent="0.25">
      <c r="A254" s="15" t="s">
        <v>575</v>
      </c>
      <c r="B254" s="12" t="s">
        <v>130</v>
      </c>
      <c r="C254" s="12"/>
      <c r="G254" s="4"/>
      <c r="H254" s="4"/>
      <c r="I254" s="4"/>
      <c r="J254" s="4"/>
      <c r="K254" s="4"/>
    </row>
    <row r="255" spans="1:11" ht="15.75" x14ac:dyDescent="0.25">
      <c r="A255" s="15" t="s">
        <v>606</v>
      </c>
      <c r="B255" s="12">
        <f>B265 - B266</f>
        <v>52</v>
      </c>
      <c r="C255" s="1" t="s">
        <v>607</v>
      </c>
      <c r="G255" s="4"/>
      <c r="H255" s="4"/>
      <c r="I255" s="4"/>
      <c r="J255" s="4"/>
      <c r="K255" s="4"/>
    </row>
    <row r="256" spans="1:11" ht="15.75" x14ac:dyDescent="0.25">
      <c r="A256" s="15" t="s">
        <v>580</v>
      </c>
      <c r="B256" s="2" t="s">
        <v>260</v>
      </c>
      <c r="C256" s="12"/>
      <c r="G256" s="4"/>
      <c r="H256" s="4"/>
      <c r="I256" s="4"/>
      <c r="J256" s="4"/>
      <c r="K256" s="4"/>
    </row>
    <row r="257" spans="1:11" ht="15.75" x14ac:dyDescent="0.25">
      <c r="A257" s="15" t="s">
        <v>133</v>
      </c>
      <c r="B257" s="52">
        <f>(B253 - B255)/LN(B253/B255)</f>
        <v>33.489918060668714</v>
      </c>
      <c r="C257" s="12" t="s">
        <v>8</v>
      </c>
      <c r="G257" s="4"/>
      <c r="H257" s="4"/>
      <c r="I257" s="4"/>
      <c r="J257" s="4"/>
      <c r="K257" s="4"/>
    </row>
    <row r="258" spans="1:11" x14ac:dyDescent="0.2">
      <c r="A258" s="1" t="s">
        <v>576</v>
      </c>
      <c r="G258" s="4"/>
      <c r="H258" s="4"/>
      <c r="I258" s="4"/>
      <c r="J258" s="4"/>
      <c r="K258" s="4"/>
    </row>
    <row r="259" spans="1:11" x14ac:dyDescent="0.2">
      <c r="A259" s="5" t="s">
        <v>579</v>
      </c>
      <c r="G259" s="4"/>
      <c r="H259" s="4"/>
      <c r="I259" s="4"/>
      <c r="J259" s="4"/>
      <c r="K259" s="4"/>
    </row>
    <row r="260" spans="1:11" x14ac:dyDescent="0.2">
      <c r="A260" s="7" t="s">
        <v>577</v>
      </c>
      <c r="B260" s="1" t="s">
        <v>578</v>
      </c>
      <c r="G260" s="4"/>
      <c r="H260" s="4"/>
      <c r="I260" s="4"/>
      <c r="J260" s="4"/>
      <c r="K260" s="4"/>
    </row>
    <row r="261" spans="1:11" x14ac:dyDescent="0.2">
      <c r="B261" s="1" t="s">
        <v>32</v>
      </c>
      <c r="G261" s="4"/>
      <c r="H261" s="4"/>
      <c r="I261" s="4"/>
      <c r="J261" s="4"/>
      <c r="K261" s="4"/>
    </row>
    <row r="262" spans="1:11" ht="15.75" x14ac:dyDescent="0.25">
      <c r="A262" s="2" t="s">
        <v>443</v>
      </c>
      <c r="B262" s="33"/>
      <c r="G262" s="4"/>
      <c r="H262" s="4"/>
      <c r="I262" s="4"/>
      <c r="J262" s="4"/>
      <c r="K262" s="4"/>
    </row>
    <row r="263" spans="1:11" ht="16.5" thickBot="1" x14ac:dyDescent="0.3">
      <c r="A263" s="2" t="s">
        <v>441</v>
      </c>
      <c r="B263" s="20" t="s">
        <v>38</v>
      </c>
      <c r="G263" s="4"/>
      <c r="H263" s="4"/>
      <c r="I263" s="4"/>
      <c r="J263" s="4"/>
      <c r="K263" s="4"/>
    </row>
    <row r="264" spans="1:11" x14ac:dyDescent="0.2">
      <c r="A264" s="7" t="s">
        <v>449</v>
      </c>
      <c r="B264" s="21">
        <v>78</v>
      </c>
      <c r="C264" s="13" t="s">
        <v>8</v>
      </c>
      <c r="D264" s="44"/>
      <c r="G264" s="4"/>
      <c r="H264" s="4"/>
      <c r="I264" s="4"/>
      <c r="J264" s="4"/>
      <c r="K264" s="4"/>
    </row>
    <row r="265" spans="1:11" x14ac:dyDescent="0.2">
      <c r="A265" s="7" t="s">
        <v>450</v>
      </c>
      <c r="B265" s="36">
        <v>74</v>
      </c>
      <c r="C265" s="13" t="s">
        <v>8</v>
      </c>
      <c r="D265" s="44"/>
      <c r="G265" s="4"/>
      <c r="H265" s="4"/>
      <c r="I265" s="4"/>
      <c r="J265" s="4"/>
      <c r="K265" s="4"/>
    </row>
    <row r="266" spans="1:11" x14ac:dyDescent="0.2">
      <c r="A266" s="7" t="s">
        <v>128</v>
      </c>
      <c r="B266" s="36">
        <v>22</v>
      </c>
      <c r="C266" s="13" t="s">
        <v>8</v>
      </c>
      <c r="D266" s="44"/>
      <c r="G266" s="4"/>
      <c r="H266" s="4"/>
      <c r="I266" s="4"/>
      <c r="J266" s="4"/>
      <c r="K266" s="4"/>
    </row>
    <row r="267" spans="1:11" x14ac:dyDescent="0.2">
      <c r="A267" s="7" t="s">
        <v>129</v>
      </c>
      <c r="B267" s="36">
        <v>58</v>
      </c>
      <c r="C267" s="13" t="s">
        <v>8</v>
      </c>
      <c r="D267" s="44"/>
      <c r="G267" s="4"/>
      <c r="H267" s="4"/>
      <c r="I267" s="4"/>
      <c r="J267" s="4"/>
      <c r="K267" s="4"/>
    </row>
    <row r="268" spans="1:11" x14ac:dyDescent="0.2">
      <c r="A268" s="7" t="s">
        <v>109</v>
      </c>
      <c r="B268" s="36">
        <v>51</v>
      </c>
      <c r="C268" s="13" t="s">
        <v>27</v>
      </c>
      <c r="G268" s="4"/>
      <c r="H268" s="4"/>
      <c r="I268" s="4"/>
      <c r="J268" s="4"/>
      <c r="K268" s="4"/>
    </row>
    <row r="269" spans="1:11" x14ac:dyDescent="0.2">
      <c r="A269" s="7" t="s">
        <v>110</v>
      </c>
      <c r="B269" s="36">
        <v>54</v>
      </c>
      <c r="C269" s="13" t="s">
        <v>27</v>
      </c>
      <c r="G269" s="4"/>
      <c r="H269" s="4"/>
      <c r="I269" s="4"/>
      <c r="J269" s="4"/>
      <c r="K269" s="4"/>
    </row>
    <row r="270" spans="1:11" ht="15.75" thickBot="1" x14ac:dyDescent="0.25">
      <c r="A270" s="7" t="s">
        <v>105</v>
      </c>
      <c r="B270" s="22">
        <v>3.5</v>
      </c>
      <c r="C270" s="13" t="s">
        <v>106</v>
      </c>
      <c r="G270" s="4"/>
      <c r="H270" s="4"/>
      <c r="I270" s="4"/>
      <c r="J270" s="4"/>
      <c r="K270" s="4"/>
    </row>
    <row r="271" spans="1:11" x14ac:dyDescent="0.2">
      <c r="G271" s="4"/>
      <c r="H271" s="4"/>
      <c r="I271" s="4"/>
      <c r="J271" s="4"/>
      <c r="K271" s="4"/>
    </row>
    <row r="272" spans="1:11" ht="16.5" thickBot="1" x14ac:dyDescent="0.3">
      <c r="A272" s="2" t="s">
        <v>442</v>
      </c>
      <c r="B272" s="13"/>
      <c r="C272" s="13"/>
      <c r="G272" s="4"/>
      <c r="H272" s="4"/>
      <c r="I272" s="4"/>
      <c r="J272" s="4"/>
      <c r="K272" s="4"/>
    </row>
    <row r="273" spans="1:11" x14ac:dyDescent="0.2">
      <c r="A273" s="7" t="s">
        <v>583</v>
      </c>
      <c r="B273" s="21">
        <v>994.7</v>
      </c>
      <c r="C273" s="13" t="s">
        <v>99</v>
      </c>
      <c r="E273" s="5"/>
      <c r="G273" s="4"/>
      <c r="H273" s="4"/>
      <c r="I273" s="4"/>
      <c r="J273" s="4"/>
      <c r="K273" s="4"/>
    </row>
    <row r="274" spans="1:11" x14ac:dyDescent="0.2">
      <c r="A274" s="7" t="s">
        <v>98</v>
      </c>
      <c r="B274" s="36">
        <v>4.1829999999999998</v>
      </c>
      <c r="C274" s="13" t="s">
        <v>100</v>
      </c>
      <c r="E274" s="5"/>
      <c r="G274" s="4"/>
      <c r="H274" s="4"/>
      <c r="I274" s="4"/>
      <c r="J274" s="4"/>
      <c r="K274" s="4"/>
    </row>
    <row r="275" spans="1:11" x14ac:dyDescent="0.2">
      <c r="A275" s="7" t="s">
        <v>586</v>
      </c>
      <c r="B275" s="75">
        <v>6.8199999999999999E-4</v>
      </c>
      <c r="C275" s="13" t="s">
        <v>101</v>
      </c>
      <c r="E275" s="5"/>
      <c r="G275" s="4"/>
      <c r="H275" s="4"/>
      <c r="I275" s="4"/>
      <c r="J275" s="4"/>
      <c r="K275" s="4"/>
    </row>
    <row r="276" spans="1:11" x14ac:dyDescent="0.2">
      <c r="A276" s="7" t="s">
        <v>584</v>
      </c>
      <c r="B276" s="36">
        <v>0.62829999999999997</v>
      </c>
      <c r="C276" s="13" t="s">
        <v>102</v>
      </c>
      <c r="E276" s="5"/>
      <c r="G276" s="4"/>
      <c r="H276" s="4"/>
      <c r="I276" s="4"/>
      <c r="J276" s="4"/>
      <c r="K276" s="4"/>
    </row>
    <row r="277" spans="1:11" x14ac:dyDescent="0.2">
      <c r="A277" s="7" t="s">
        <v>496</v>
      </c>
      <c r="B277" s="36">
        <v>4.51</v>
      </c>
      <c r="C277" s="13" t="s">
        <v>283</v>
      </c>
      <c r="E277" s="5"/>
      <c r="G277" s="4"/>
      <c r="H277" s="4"/>
      <c r="I277" s="4"/>
      <c r="J277" s="4"/>
      <c r="K277" s="4"/>
    </row>
    <row r="278" spans="1:11" x14ac:dyDescent="0.2">
      <c r="A278" s="7" t="s">
        <v>585</v>
      </c>
      <c r="B278" s="37">
        <v>0.4</v>
      </c>
      <c r="C278" s="13"/>
      <c r="E278" s="5"/>
      <c r="G278" s="4"/>
      <c r="H278" s="4"/>
      <c r="I278" s="4"/>
      <c r="J278" s="4"/>
      <c r="K278" s="4"/>
    </row>
    <row r="279" spans="1:11" ht="15.75" thickBot="1" x14ac:dyDescent="0.25">
      <c r="A279" s="7" t="s">
        <v>105</v>
      </c>
      <c r="B279" s="22">
        <v>3</v>
      </c>
      <c r="C279" s="13" t="s">
        <v>106</v>
      </c>
      <c r="G279" s="4"/>
      <c r="H279" s="4"/>
      <c r="I279" s="4"/>
      <c r="J279" s="4"/>
      <c r="K279" s="4"/>
    </row>
    <row r="280" spans="1:11" x14ac:dyDescent="0.2">
      <c r="A280" s="7"/>
      <c r="B280" s="13"/>
      <c r="C280" s="13"/>
      <c r="G280" s="4"/>
      <c r="H280" s="4"/>
      <c r="I280" s="4"/>
      <c r="J280" s="4"/>
      <c r="K280" s="4"/>
    </row>
    <row r="281" spans="1:11" ht="15.75" x14ac:dyDescent="0.25">
      <c r="B281" s="20" t="s">
        <v>39</v>
      </c>
      <c r="G281" s="4"/>
      <c r="H281" s="4"/>
      <c r="I281" s="4"/>
      <c r="J281" s="4"/>
      <c r="K281" s="4"/>
    </row>
    <row r="282" spans="1:11" ht="15.75" x14ac:dyDescent="0.25">
      <c r="A282" s="15" t="s">
        <v>452</v>
      </c>
      <c r="B282" s="12" t="s">
        <v>97</v>
      </c>
      <c r="C282" s="12" t="s">
        <v>8</v>
      </c>
      <c r="G282" s="4"/>
      <c r="H282" s="4"/>
      <c r="I282" s="4"/>
      <c r="J282" s="4"/>
      <c r="K282" s="4"/>
    </row>
    <row r="283" spans="1:11" ht="15.75" x14ac:dyDescent="0.25">
      <c r="A283" s="15" t="s">
        <v>112</v>
      </c>
      <c r="B283" s="12">
        <f>(B264+B265)/2</f>
        <v>76</v>
      </c>
      <c r="C283" s="12" t="s">
        <v>8</v>
      </c>
      <c r="G283" s="4"/>
      <c r="H283" s="4"/>
      <c r="I283" s="4"/>
      <c r="J283" s="4"/>
      <c r="K283" s="4"/>
    </row>
    <row r="284" spans="1:11" ht="15.75" x14ac:dyDescent="0.25">
      <c r="A284" s="15" t="s">
        <v>103</v>
      </c>
      <c r="B284" s="12" t="s">
        <v>104</v>
      </c>
      <c r="C284" s="13"/>
      <c r="G284" s="4"/>
      <c r="H284" s="4"/>
      <c r="I284" s="4"/>
      <c r="J284" s="4"/>
      <c r="K284" s="4"/>
    </row>
    <row r="285" spans="1:11" ht="15.75" x14ac:dyDescent="0.25">
      <c r="A285" s="15" t="s">
        <v>108</v>
      </c>
      <c r="B285" s="12" t="s">
        <v>107</v>
      </c>
      <c r="C285" s="13"/>
      <c r="G285" s="4"/>
      <c r="H285" s="4"/>
      <c r="I285" s="4"/>
      <c r="J285" s="4"/>
      <c r="K285" s="4"/>
    </row>
    <row r="286" spans="1:11" ht="15.75" x14ac:dyDescent="0.25">
      <c r="A286" s="15" t="s">
        <v>111</v>
      </c>
      <c r="B286" s="81">
        <f>(B270*B268/1000)*B273/B275</f>
        <v>260343.03519061583</v>
      </c>
      <c r="C286" s="2" t="s">
        <v>118</v>
      </c>
      <c r="E286" s="33" t="s">
        <v>119</v>
      </c>
      <c r="G286" s="3"/>
      <c r="H286" s="27"/>
      <c r="I286" s="4"/>
      <c r="J286" s="4"/>
      <c r="K286" s="4"/>
    </row>
    <row r="287" spans="1:11" x14ac:dyDescent="0.2">
      <c r="G287" s="4"/>
      <c r="H287" s="4"/>
      <c r="I287" s="4"/>
      <c r="J287" s="4"/>
      <c r="K287" s="4"/>
    </row>
    <row r="288" spans="1:11" ht="15.75" x14ac:dyDescent="0.25">
      <c r="A288" s="15" t="s">
        <v>280</v>
      </c>
      <c r="B288" s="33" t="s">
        <v>113</v>
      </c>
      <c r="C288" s="33"/>
      <c r="D288" s="33"/>
      <c r="G288" s="4"/>
      <c r="H288" s="4"/>
      <c r="I288" s="4"/>
      <c r="J288" s="4"/>
      <c r="K288" s="4"/>
    </row>
    <row r="289" spans="1:11" ht="15.75" x14ac:dyDescent="0.25">
      <c r="A289" s="15" t="s">
        <v>115</v>
      </c>
      <c r="B289" s="53">
        <f>(0.023*(B286^0.8)*(B277)^B278*((B276))/(B268/1000))</f>
        <v>11128.384107882786</v>
      </c>
      <c r="C289" s="33" t="s">
        <v>114</v>
      </c>
      <c r="D289" s="33"/>
      <c r="G289" s="4"/>
      <c r="H289" s="4"/>
      <c r="I289" s="4"/>
      <c r="J289" s="4"/>
      <c r="K289" s="4"/>
    </row>
    <row r="290" spans="1:11" ht="15.75" x14ac:dyDescent="0.25">
      <c r="A290" s="15" t="s">
        <v>116</v>
      </c>
      <c r="B290" s="12" t="s">
        <v>120</v>
      </c>
      <c r="C290" s="33" t="s">
        <v>117</v>
      </c>
      <c r="D290" s="33"/>
      <c r="G290" s="4"/>
      <c r="H290" s="4"/>
      <c r="I290" s="4"/>
      <c r="J290" s="4"/>
      <c r="K290" s="4"/>
    </row>
    <row r="291" spans="1:11" ht="15.75" x14ac:dyDescent="0.25">
      <c r="A291" s="15" t="s">
        <v>116</v>
      </c>
      <c r="B291" s="53">
        <f>B289*0.1787</f>
        <v>1988.6422400786539</v>
      </c>
      <c r="C291" s="33" t="s">
        <v>117</v>
      </c>
      <c r="D291" s="33"/>
      <c r="G291" s="4"/>
      <c r="H291" s="4"/>
      <c r="I291" s="4"/>
      <c r="J291" s="4"/>
      <c r="K291" s="4"/>
    </row>
    <row r="292" spans="1:11" x14ac:dyDescent="0.2">
      <c r="G292" s="4"/>
      <c r="H292" s="4"/>
      <c r="I292" s="4"/>
      <c r="J292" s="4"/>
      <c r="K292" s="4"/>
    </row>
    <row r="293" spans="1:11" ht="15.75" x14ac:dyDescent="0.25">
      <c r="A293" s="15" t="s">
        <v>446</v>
      </c>
      <c r="B293" s="82">
        <f>B289</f>
        <v>11128.384107882786</v>
      </c>
      <c r="C293" s="33" t="s">
        <v>114</v>
      </c>
      <c r="G293" s="4"/>
      <c r="H293" s="4"/>
      <c r="I293" s="4"/>
      <c r="J293" s="4"/>
      <c r="K293" s="4"/>
    </row>
    <row r="294" spans="1:11" ht="15.75" x14ac:dyDescent="0.25">
      <c r="A294" s="15" t="s">
        <v>581</v>
      </c>
      <c r="B294" s="12" t="s">
        <v>130</v>
      </c>
      <c r="G294" s="4"/>
      <c r="H294" s="4"/>
      <c r="I294" s="4"/>
      <c r="J294" s="4"/>
      <c r="K294" s="4"/>
    </row>
    <row r="295" spans="1:11" ht="15.75" x14ac:dyDescent="0.25">
      <c r="A295" s="15" t="s">
        <v>451</v>
      </c>
      <c r="B295" s="12">
        <f>B265-B266</f>
        <v>52</v>
      </c>
      <c r="C295" s="12" t="s">
        <v>8</v>
      </c>
      <c r="F295" s="12" t="s">
        <v>152</v>
      </c>
      <c r="G295" s="4"/>
      <c r="H295" s="4"/>
      <c r="I295" s="4"/>
      <c r="J295" s="4"/>
      <c r="K295" s="4"/>
    </row>
    <row r="296" spans="1:11" x14ac:dyDescent="0.2">
      <c r="G296" s="4"/>
      <c r="H296" s="4"/>
      <c r="I296" s="4"/>
      <c r="J296" s="4"/>
      <c r="K296" s="4"/>
    </row>
    <row r="297" spans="1:11" x14ac:dyDescent="0.2">
      <c r="A297" s="7" t="s">
        <v>19</v>
      </c>
      <c r="B297" s="13"/>
      <c r="C297" s="13"/>
      <c r="G297" s="4"/>
      <c r="H297" s="4"/>
      <c r="I297" s="4"/>
      <c r="J297" s="4"/>
      <c r="K297" s="4"/>
    </row>
    <row r="298" spans="1:11" ht="15.75" x14ac:dyDescent="0.25">
      <c r="A298" s="15" t="s">
        <v>582</v>
      </c>
      <c r="B298" s="12" t="s">
        <v>131</v>
      </c>
      <c r="C298" s="13"/>
      <c r="G298" s="4"/>
      <c r="H298" s="4"/>
      <c r="I298" s="4"/>
      <c r="J298" s="4"/>
      <c r="K298" s="4"/>
    </row>
    <row r="299" spans="1:11" ht="15.75" x14ac:dyDescent="0.25">
      <c r="A299" s="15" t="s">
        <v>132</v>
      </c>
      <c r="B299" s="12">
        <f>B264-B267</f>
        <v>20</v>
      </c>
      <c r="C299" s="12" t="s">
        <v>8</v>
      </c>
      <c r="G299" s="4"/>
      <c r="H299" s="4"/>
      <c r="I299" s="4"/>
      <c r="J299" s="4"/>
      <c r="K299" s="4"/>
    </row>
    <row r="300" spans="1:11" x14ac:dyDescent="0.2">
      <c r="A300" s="7"/>
      <c r="B300" s="13"/>
      <c r="G300" s="4"/>
      <c r="H300" s="4"/>
      <c r="I300" s="4"/>
      <c r="J300" s="4"/>
      <c r="K300" s="4"/>
    </row>
    <row r="301" spans="1:11" ht="15.75" x14ac:dyDescent="0.25">
      <c r="A301" s="15" t="s">
        <v>445</v>
      </c>
      <c r="B301" s="2" t="s">
        <v>260</v>
      </c>
      <c r="C301" s="12"/>
      <c r="G301" s="4"/>
      <c r="H301" s="4"/>
      <c r="I301" s="4"/>
      <c r="J301" s="4"/>
      <c r="K301" s="4"/>
    </row>
    <row r="302" spans="1:11" ht="15.75" x14ac:dyDescent="0.25">
      <c r="A302" s="15" t="s">
        <v>133</v>
      </c>
      <c r="B302" s="52">
        <f>(B295-B299)/LN(B295/B299)</f>
        <v>33.489918060668714</v>
      </c>
      <c r="C302" s="12" t="s">
        <v>8</v>
      </c>
      <c r="G302" s="4"/>
      <c r="H302" s="4"/>
      <c r="I302" s="4"/>
      <c r="J302" s="4"/>
      <c r="K302" s="4"/>
    </row>
    <row r="303" spans="1:11" x14ac:dyDescent="0.2">
      <c r="A303" s="7"/>
      <c r="G303" s="4"/>
      <c r="H303" s="4"/>
      <c r="I303" s="4"/>
      <c r="J303" s="4"/>
      <c r="K303" s="4"/>
    </row>
    <row r="304" spans="1:11" ht="15.75" x14ac:dyDescent="0.25">
      <c r="A304" s="15" t="s">
        <v>134</v>
      </c>
      <c r="B304" s="12" t="s">
        <v>135</v>
      </c>
      <c r="C304" s="12"/>
      <c r="G304" s="4"/>
      <c r="H304" s="4"/>
      <c r="I304" s="4"/>
      <c r="J304" s="4"/>
      <c r="K304" s="4"/>
    </row>
    <row r="305" spans="1:11" ht="15.75" x14ac:dyDescent="0.25">
      <c r="A305" s="15" t="s">
        <v>138</v>
      </c>
      <c r="B305" s="12" t="s">
        <v>137</v>
      </c>
      <c r="C305" s="12"/>
      <c r="G305" s="4"/>
      <c r="H305" s="4"/>
      <c r="I305" s="4"/>
      <c r="J305" s="4"/>
      <c r="K305" s="4"/>
    </row>
    <row r="306" spans="1:11" ht="15.75" x14ac:dyDescent="0.25">
      <c r="A306" s="15" t="s">
        <v>140</v>
      </c>
      <c r="B306" s="33" t="s">
        <v>139</v>
      </c>
      <c r="C306" s="12"/>
      <c r="G306" s="4"/>
      <c r="H306" s="4"/>
      <c r="I306" s="4"/>
      <c r="J306" s="4"/>
      <c r="K306" s="4"/>
    </row>
    <row r="307" spans="1:11" ht="15.75" x14ac:dyDescent="0.25">
      <c r="A307" s="15" t="s">
        <v>141</v>
      </c>
      <c r="B307" s="33" t="s">
        <v>142</v>
      </c>
      <c r="C307" s="12"/>
      <c r="G307" s="4"/>
      <c r="H307" s="4"/>
      <c r="I307" s="4"/>
      <c r="J307" s="4"/>
      <c r="K307" s="4"/>
    </row>
    <row r="308" spans="1:11" ht="15.75" x14ac:dyDescent="0.25">
      <c r="A308" s="15" t="s">
        <v>136</v>
      </c>
      <c r="B308" s="12" t="s">
        <v>447</v>
      </c>
      <c r="C308" s="12"/>
      <c r="G308" s="4"/>
      <c r="H308" s="4"/>
      <c r="I308" s="4"/>
      <c r="J308" s="4"/>
      <c r="K308" s="4"/>
    </row>
    <row r="309" spans="1:11" x14ac:dyDescent="0.2">
      <c r="G309" s="4"/>
      <c r="H309" s="4"/>
      <c r="I309" s="4"/>
      <c r="J309" s="4"/>
      <c r="K309" s="4"/>
    </row>
    <row r="310" spans="1:11" ht="15.75" x14ac:dyDescent="0.25">
      <c r="A310" s="15" t="s">
        <v>257</v>
      </c>
      <c r="B310" s="12" t="s">
        <v>143</v>
      </c>
      <c r="C310" s="12"/>
      <c r="G310" s="4"/>
      <c r="H310" s="4"/>
      <c r="I310" s="4"/>
      <c r="J310" s="4"/>
      <c r="K310" s="4"/>
    </row>
    <row r="311" spans="1:11" ht="15.75" x14ac:dyDescent="0.25">
      <c r="A311" s="15" t="s">
        <v>258</v>
      </c>
      <c r="B311" s="12" t="s">
        <v>144</v>
      </c>
      <c r="C311" s="12"/>
      <c r="G311" s="4"/>
      <c r="H311" s="4"/>
      <c r="I311" s="4"/>
      <c r="J311" s="4"/>
      <c r="K311" s="4"/>
    </row>
    <row r="312" spans="1:11" ht="15.75" x14ac:dyDescent="0.25">
      <c r="A312" s="15" t="s">
        <v>259</v>
      </c>
      <c r="B312" s="12" t="s">
        <v>448</v>
      </c>
      <c r="C312" s="13"/>
      <c r="D312" s="12" t="s">
        <v>19</v>
      </c>
      <c r="G312" s="4"/>
      <c r="H312" s="4"/>
      <c r="I312" s="4"/>
      <c r="J312" s="4"/>
      <c r="K312" s="4"/>
    </row>
    <row r="313" spans="1:11" ht="15.75" x14ac:dyDescent="0.25">
      <c r="A313" s="15" t="s">
        <v>145</v>
      </c>
      <c r="B313" s="53">
        <f>B293*B268/B269</f>
        <v>10510.140546333743</v>
      </c>
      <c r="C313" s="33" t="s">
        <v>114</v>
      </c>
      <c r="G313" s="4"/>
      <c r="H313" s="4"/>
      <c r="I313" s="4"/>
      <c r="J313" s="4"/>
      <c r="K313" s="4"/>
    </row>
    <row r="314" spans="1:11" x14ac:dyDescent="0.2">
      <c r="A314" s="7"/>
      <c r="G314" s="4"/>
      <c r="H314" s="4"/>
      <c r="I314" s="4"/>
      <c r="J314" s="4"/>
      <c r="K314" s="4"/>
    </row>
    <row r="315" spans="1:11" ht="15.75" x14ac:dyDescent="0.25">
      <c r="A315" s="15" t="s">
        <v>98</v>
      </c>
      <c r="B315" s="12" t="s">
        <v>147</v>
      </c>
      <c r="C315" s="2" t="s">
        <v>148</v>
      </c>
      <c r="G315" s="4"/>
      <c r="H315" s="4"/>
      <c r="I315" s="4"/>
      <c r="J315" s="4"/>
      <c r="K315" s="4"/>
    </row>
    <row r="316" spans="1:11" ht="15.75" x14ac:dyDescent="0.25">
      <c r="A316" s="15" t="s">
        <v>150</v>
      </c>
      <c r="B316" s="12">
        <f>B274*1000</f>
        <v>4183</v>
      </c>
      <c r="C316" s="12" t="s">
        <v>149</v>
      </c>
      <c r="G316" s="4"/>
      <c r="H316" s="4"/>
      <c r="I316" s="4"/>
      <c r="J316" s="4"/>
      <c r="K316" s="4"/>
    </row>
    <row r="317" spans="1:11" x14ac:dyDescent="0.2">
      <c r="G317" s="4"/>
      <c r="H317" s="4"/>
      <c r="I317" s="4"/>
      <c r="J317" s="4"/>
      <c r="K317" s="4"/>
    </row>
    <row r="318" spans="1:11" ht="15.75" x14ac:dyDescent="0.25">
      <c r="A318" s="2" t="s">
        <v>444</v>
      </c>
      <c r="D318" s="33"/>
      <c r="G318" s="4"/>
      <c r="H318" s="4"/>
      <c r="I318" s="4"/>
      <c r="J318" s="4"/>
      <c r="K318" s="4"/>
    </row>
    <row r="319" spans="1:11" ht="15.75" x14ac:dyDescent="0.25">
      <c r="A319" s="15" t="s">
        <v>596</v>
      </c>
      <c r="B319" s="33" t="s">
        <v>146</v>
      </c>
      <c r="C319" s="33"/>
      <c r="G319" s="4"/>
      <c r="H319" s="4"/>
      <c r="I319" s="4"/>
      <c r="J319" s="4"/>
      <c r="K319" s="4"/>
    </row>
    <row r="320" spans="1:11" ht="15.75" x14ac:dyDescent="0.25">
      <c r="A320" s="15" t="s">
        <v>151</v>
      </c>
      <c r="B320" s="34">
        <f>B273*B279*(B268/1000)^2*B274*1000*(B267-B266)/(4*B313*(B269/1000)*B302)</f>
        <v>15.373322237494758</v>
      </c>
      <c r="C320" s="12" t="s">
        <v>58</v>
      </c>
      <c r="G320" s="4"/>
      <c r="H320" s="4"/>
      <c r="I320" s="4"/>
      <c r="J320" s="4"/>
      <c r="K320" s="4"/>
    </row>
    <row r="321" spans="1:11" x14ac:dyDescent="0.2">
      <c r="G321" s="4"/>
      <c r="H321" s="4"/>
      <c r="I321" s="4"/>
      <c r="J321" s="4"/>
      <c r="K321" s="4"/>
    </row>
    <row r="322" spans="1:11" x14ac:dyDescent="0.2">
      <c r="G322" s="4"/>
      <c r="H322" s="4"/>
      <c r="I322" s="4"/>
      <c r="J322" s="4"/>
      <c r="K322" s="4"/>
    </row>
    <row r="323" spans="1:11" ht="15.75" x14ac:dyDescent="0.25">
      <c r="A323" s="2" t="s">
        <v>489</v>
      </c>
      <c r="G323" s="4"/>
      <c r="H323" s="4"/>
      <c r="I323" s="4"/>
      <c r="J323" s="4"/>
      <c r="K323" s="4"/>
    </row>
    <row r="324" spans="1:11" x14ac:dyDescent="0.2">
      <c r="G324" s="4"/>
      <c r="H324" s="4"/>
      <c r="I324" s="4"/>
      <c r="J324" s="4"/>
      <c r="K324" s="4"/>
    </row>
    <row r="325" spans="1:11" x14ac:dyDescent="0.2">
      <c r="G325" s="4"/>
      <c r="H325" s="4"/>
      <c r="I325" s="4"/>
      <c r="J325" s="4"/>
      <c r="K325" s="4"/>
    </row>
    <row r="326" spans="1:11" x14ac:dyDescent="0.2">
      <c r="G326" s="4"/>
      <c r="H326" s="4"/>
      <c r="I326" s="4"/>
      <c r="J326" s="4"/>
      <c r="K326" s="4"/>
    </row>
    <row r="327" spans="1:11" x14ac:dyDescent="0.2">
      <c r="G327" s="4"/>
      <c r="H327" s="4"/>
      <c r="I327" s="4"/>
      <c r="J327" s="4"/>
      <c r="K327" s="4"/>
    </row>
    <row r="328" spans="1:11" x14ac:dyDescent="0.2">
      <c r="G328" s="4"/>
      <c r="H328" s="4"/>
      <c r="I328" s="4"/>
      <c r="J328" s="4"/>
      <c r="K328" s="4"/>
    </row>
    <row r="329" spans="1:11" x14ac:dyDescent="0.2">
      <c r="G329" s="4"/>
      <c r="H329" s="4"/>
      <c r="I329" s="4"/>
      <c r="J329" s="4"/>
      <c r="K329" s="4"/>
    </row>
    <row r="330" spans="1:11" x14ac:dyDescent="0.2">
      <c r="G330" s="4"/>
      <c r="H330" s="4"/>
      <c r="I330" s="4"/>
      <c r="J330" s="4"/>
      <c r="K330" s="4"/>
    </row>
    <row r="331" spans="1:11" x14ac:dyDescent="0.2">
      <c r="G331" s="4"/>
      <c r="H331" s="4"/>
      <c r="I331" s="4"/>
      <c r="J331" s="4"/>
      <c r="K331" s="4"/>
    </row>
    <row r="332" spans="1:11" x14ac:dyDescent="0.2">
      <c r="G332" s="4"/>
      <c r="H332" s="4"/>
      <c r="I332" s="4"/>
      <c r="J332" s="4"/>
      <c r="K332" s="4"/>
    </row>
    <row r="333" spans="1:11" x14ac:dyDescent="0.2">
      <c r="G333" s="4"/>
      <c r="H333" s="4"/>
      <c r="I333" s="4"/>
      <c r="J333" s="4"/>
      <c r="K333" s="4"/>
    </row>
    <row r="334" spans="1:11" x14ac:dyDescent="0.2">
      <c r="G334" s="4"/>
      <c r="H334" s="4"/>
      <c r="I334" s="4"/>
      <c r="J334" s="4"/>
      <c r="K334" s="4"/>
    </row>
    <row r="335" spans="1:11" x14ac:dyDescent="0.2">
      <c r="G335" s="4"/>
      <c r="H335" s="4"/>
      <c r="I335" s="4"/>
      <c r="J335" s="4"/>
      <c r="K335" s="4"/>
    </row>
    <row r="336" spans="1:11" x14ac:dyDescent="0.2">
      <c r="G336" s="4"/>
      <c r="H336" s="4"/>
      <c r="I336" s="4"/>
      <c r="J336" s="4"/>
      <c r="K336" s="4"/>
    </row>
    <row r="337" spans="7:11" x14ac:dyDescent="0.2">
      <c r="G337" s="4"/>
      <c r="H337" s="4"/>
      <c r="I337" s="4"/>
      <c r="J337" s="4"/>
      <c r="K337" s="4"/>
    </row>
    <row r="338" spans="7:11" x14ac:dyDescent="0.2">
      <c r="G338" s="4"/>
      <c r="H338" s="4"/>
      <c r="I338" s="4"/>
      <c r="J338" s="4"/>
      <c r="K338" s="4"/>
    </row>
    <row r="339" spans="7:11" x14ac:dyDescent="0.2">
      <c r="G339" s="4"/>
      <c r="H339" s="4"/>
      <c r="I339" s="4"/>
      <c r="J339" s="4"/>
      <c r="K339" s="4"/>
    </row>
    <row r="340" spans="7:11" x14ac:dyDescent="0.2">
      <c r="G340" s="4"/>
      <c r="H340" s="4"/>
      <c r="I340" s="4"/>
      <c r="J340" s="4"/>
      <c r="K340" s="4"/>
    </row>
    <row r="341" spans="7:11" x14ac:dyDescent="0.2">
      <c r="G341" s="4"/>
      <c r="H341" s="4"/>
      <c r="I341" s="4"/>
      <c r="J341" s="4"/>
      <c r="K341" s="4"/>
    </row>
    <row r="342" spans="7:11" x14ac:dyDescent="0.2">
      <c r="G342" s="4"/>
      <c r="H342" s="4"/>
      <c r="I342" s="4"/>
      <c r="J342" s="4"/>
      <c r="K342" s="4"/>
    </row>
    <row r="343" spans="7:11" x14ac:dyDescent="0.2">
      <c r="G343" s="4"/>
      <c r="H343" s="4"/>
      <c r="I343" s="4"/>
      <c r="J343" s="4"/>
      <c r="K343" s="4"/>
    </row>
    <row r="344" spans="7:11" x14ac:dyDescent="0.2">
      <c r="G344" s="4"/>
      <c r="H344" s="4"/>
      <c r="I344" s="4"/>
      <c r="J344" s="4"/>
      <c r="K344" s="4"/>
    </row>
    <row r="345" spans="7:11" x14ac:dyDescent="0.2">
      <c r="G345" s="4"/>
      <c r="H345" s="4"/>
      <c r="I345" s="4"/>
      <c r="J345" s="4"/>
      <c r="K345" s="4"/>
    </row>
    <row r="346" spans="7:11" x14ac:dyDescent="0.2">
      <c r="G346" s="4"/>
      <c r="H346" s="4"/>
      <c r="I346" s="4"/>
      <c r="J346" s="4"/>
      <c r="K346" s="4"/>
    </row>
    <row r="347" spans="7:11" x14ac:dyDescent="0.2">
      <c r="G347" s="4"/>
      <c r="H347" s="4"/>
      <c r="I347" s="4"/>
      <c r="J347" s="4"/>
      <c r="K347" s="4"/>
    </row>
    <row r="348" spans="7:11" x14ac:dyDescent="0.2">
      <c r="G348" s="4"/>
      <c r="H348" s="4"/>
      <c r="I348" s="4"/>
      <c r="J348" s="4"/>
      <c r="K348" s="4"/>
    </row>
    <row r="349" spans="7:11" x14ac:dyDescent="0.2">
      <c r="G349" s="4"/>
      <c r="H349" s="4"/>
      <c r="I349" s="4"/>
      <c r="J349" s="4"/>
      <c r="K349" s="4"/>
    </row>
    <row r="350" spans="7:11" x14ac:dyDescent="0.2">
      <c r="G350" s="4"/>
      <c r="H350" s="4"/>
      <c r="I350" s="4"/>
      <c r="J350" s="4"/>
      <c r="K350" s="4"/>
    </row>
    <row r="351" spans="7:11" x14ac:dyDescent="0.2">
      <c r="G351" s="4"/>
      <c r="H351" s="4"/>
      <c r="I351" s="4"/>
      <c r="J351" s="4"/>
      <c r="K351" s="4"/>
    </row>
    <row r="352" spans="7:11" x14ac:dyDescent="0.2">
      <c r="G352" s="4"/>
      <c r="H352" s="4"/>
      <c r="I352" s="4"/>
      <c r="J352" s="4"/>
      <c r="K352" s="4"/>
    </row>
    <row r="353" spans="6:11" x14ac:dyDescent="0.2">
      <c r="G353" s="4"/>
      <c r="H353" s="4"/>
      <c r="I353" s="4"/>
      <c r="J353" s="4"/>
      <c r="K353" s="4"/>
    </row>
    <row r="354" spans="6:11" x14ac:dyDescent="0.2">
      <c r="G354" s="4"/>
      <c r="H354" s="4"/>
      <c r="I354" s="4"/>
      <c r="J354" s="4"/>
      <c r="K354" s="4"/>
    </row>
    <row r="355" spans="6:11" x14ac:dyDescent="0.2">
      <c r="G355" s="4"/>
      <c r="H355" s="4"/>
      <c r="I355" s="4"/>
      <c r="J355" s="4"/>
      <c r="K355" s="4"/>
    </row>
    <row r="356" spans="6:11" x14ac:dyDescent="0.2">
      <c r="G356" s="4"/>
      <c r="H356" s="4"/>
      <c r="I356" s="4"/>
      <c r="J356" s="4"/>
      <c r="K356" s="4"/>
    </row>
    <row r="357" spans="6:11" ht="15.75" x14ac:dyDescent="0.25">
      <c r="F357" s="12" t="s">
        <v>154</v>
      </c>
      <c r="G357" s="4"/>
      <c r="H357" s="4"/>
      <c r="I357" s="4"/>
      <c r="J357" s="4"/>
      <c r="K357" s="4"/>
    </row>
  </sheetData>
  <sheetProtection sheet="1" objects="1" scenarios="1" formatCells="0" selectLockedCells="1"/>
  <phoneticPr fontId="1" type="noConversion"/>
  <printOptions gridLines="1"/>
  <pageMargins left="0.75" right="0.75" top="1" bottom="1" header="0.5" footer="0.5"/>
  <pageSetup orientation="portrait" horizontalDpi="4294967295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3"/>
  <sheetViews>
    <sheetView workbookViewId="0">
      <selection activeCell="I1" sqref="I1"/>
    </sheetView>
  </sheetViews>
  <sheetFormatPr defaultRowHeight="15" x14ac:dyDescent="0.2"/>
  <cols>
    <col min="1" max="1" width="38" style="1" customWidth="1"/>
    <col min="2" max="2" width="12.42578125" style="1" customWidth="1"/>
    <col min="3" max="6" width="9.140625" style="1"/>
    <col min="7" max="7" width="32.28515625" style="1" customWidth="1"/>
    <col min="8" max="16384" width="9.140625" style="1"/>
  </cols>
  <sheetData>
    <row r="1" spans="1:13" ht="18" x14ac:dyDescent="0.25">
      <c r="A1" s="70" t="s">
        <v>379</v>
      </c>
      <c r="G1" s="4"/>
      <c r="H1" s="4"/>
      <c r="I1" s="4"/>
      <c r="J1" s="4"/>
      <c r="K1" s="4"/>
      <c r="L1" s="4"/>
      <c r="M1" s="4"/>
    </row>
    <row r="2" spans="1:13" x14ac:dyDescent="0.2">
      <c r="A2" s="5" t="s">
        <v>614</v>
      </c>
      <c r="G2" s="4"/>
      <c r="H2" s="4"/>
      <c r="I2" s="4"/>
      <c r="J2" s="4"/>
      <c r="K2" s="4"/>
      <c r="L2" s="4"/>
      <c r="M2" s="4"/>
    </row>
    <row r="3" spans="1:13" x14ac:dyDescent="0.2">
      <c r="G3" s="4"/>
      <c r="H3" s="4"/>
      <c r="I3" s="4"/>
      <c r="J3" s="4"/>
      <c r="K3" s="4"/>
      <c r="L3" s="4"/>
      <c r="M3" s="4"/>
    </row>
    <row r="4" spans="1:13" x14ac:dyDescent="0.2">
      <c r="A4" s="5" t="s">
        <v>588</v>
      </c>
      <c r="G4" s="4"/>
      <c r="H4" s="4"/>
      <c r="I4" s="4"/>
      <c r="J4" s="4"/>
      <c r="K4" s="4"/>
      <c r="L4" s="4"/>
      <c r="M4" s="4"/>
    </row>
    <row r="5" spans="1:13" x14ac:dyDescent="0.2">
      <c r="G5" s="4"/>
      <c r="H5" s="4"/>
      <c r="I5" s="4"/>
      <c r="J5" s="4"/>
      <c r="K5" s="4"/>
      <c r="L5" s="4"/>
      <c r="M5" s="4"/>
    </row>
    <row r="6" spans="1:13" ht="15.75" x14ac:dyDescent="0.25">
      <c r="A6" s="2" t="s">
        <v>178</v>
      </c>
      <c r="B6" s="13"/>
      <c r="C6" s="13"/>
      <c r="G6" s="4"/>
      <c r="H6" s="4"/>
      <c r="I6" s="4"/>
      <c r="J6" s="4"/>
      <c r="K6" s="4"/>
      <c r="L6" s="4"/>
      <c r="M6" s="4"/>
    </row>
    <row r="7" spans="1:13" x14ac:dyDescent="0.2">
      <c r="A7" s="7" t="s">
        <v>615</v>
      </c>
      <c r="B7" s="13" t="s">
        <v>597</v>
      </c>
      <c r="C7" s="13"/>
      <c r="G7" s="4"/>
      <c r="H7" s="4"/>
      <c r="I7" s="4"/>
      <c r="J7" s="4"/>
      <c r="K7" s="4"/>
      <c r="L7" s="4"/>
      <c r="M7" s="4"/>
    </row>
    <row r="8" spans="1:13" x14ac:dyDescent="0.2">
      <c r="A8" s="7" t="s">
        <v>179</v>
      </c>
      <c r="B8" s="13" t="s">
        <v>181</v>
      </c>
      <c r="C8" s="13"/>
      <c r="G8" s="4"/>
      <c r="H8" s="4"/>
      <c r="I8" s="4"/>
      <c r="J8" s="4"/>
      <c r="K8" s="4"/>
      <c r="L8" s="4"/>
      <c r="M8" s="4"/>
    </row>
    <row r="9" spans="1:13" x14ac:dyDescent="0.2">
      <c r="A9" s="7" t="s">
        <v>180</v>
      </c>
      <c r="B9" s="13" t="s">
        <v>182</v>
      </c>
      <c r="C9" s="5" t="s">
        <v>183</v>
      </c>
      <c r="G9" s="4"/>
      <c r="H9" s="4"/>
      <c r="I9" s="4"/>
      <c r="J9" s="4"/>
      <c r="K9" s="4"/>
      <c r="L9" s="4"/>
      <c r="M9" s="4"/>
    </row>
    <row r="10" spans="1:13" x14ac:dyDescent="0.2">
      <c r="A10" s="7"/>
      <c r="B10" s="13"/>
      <c r="C10" s="13"/>
      <c r="G10" s="4"/>
      <c r="H10" s="4"/>
      <c r="I10" s="4"/>
      <c r="J10" s="4"/>
      <c r="K10" s="4"/>
      <c r="L10" s="4"/>
      <c r="M10" s="4"/>
    </row>
    <row r="11" spans="1:13" x14ac:dyDescent="0.2">
      <c r="A11" s="7" t="s">
        <v>616</v>
      </c>
      <c r="B11" s="43">
        <v>1</v>
      </c>
      <c r="C11" s="13"/>
      <c r="G11" s="4"/>
      <c r="H11" s="4"/>
      <c r="I11" s="4"/>
      <c r="J11" s="4"/>
      <c r="K11" s="4"/>
      <c r="L11" s="4"/>
      <c r="M11" s="4"/>
    </row>
    <row r="12" spans="1:13" x14ac:dyDescent="0.2">
      <c r="A12" s="7"/>
      <c r="B12" s="13"/>
      <c r="C12" s="13"/>
      <c r="G12" s="4"/>
      <c r="H12" s="4"/>
      <c r="I12" s="4"/>
      <c r="J12" s="4"/>
      <c r="K12" s="4"/>
      <c r="L12" s="4"/>
      <c r="M12" s="4"/>
    </row>
    <row r="13" spans="1:13" ht="15.75" x14ac:dyDescent="0.25">
      <c r="A13" s="2" t="s">
        <v>184</v>
      </c>
      <c r="B13" s="13"/>
      <c r="C13" s="13"/>
      <c r="G13" s="4"/>
      <c r="H13" s="4"/>
      <c r="I13" s="4"/>
      <c r="J13" s="4"/>
      <c r="K13" s="4"/>
      <c r="L13" s="4"/>
      <c r="M13" s="4"/>
    </row>
    <row r="14" spans="1:13" x14ac:dyDescent="0.2">
      <c r="A14" s="7" t="s">
        <v>598</v>
      </c>
      <c r="G14" s="4"/>
      <c r="H14" s="4"/>
      <c r="I14" s="4"/>
      <c r="J14" s="4"/>
      <c r="K14" s="4"/>
      <c r="L14" s="4"/>
      <c r="M14" s="4"/>
    </row>
    <row r="15" spans="1:13" x14ac:dyDescent="0.2">
      <c r="A15" s="7" t="s">
        <v>617</v>
      </c>
      <c r="B15" s="43">
        <v>1</v>
      </c>
      <c r="G15" s="4"/>
      <c r="H15" s="4"/>
      <c r="I15" s="4"/>
      <c r="J15" s="4"/>
      <c r="K15" s="4"/>
      <c r="L15" s="4"/>
      <c r="M15" s="4"/>
    </row>
    <row r="16" spans="1:13" x14ac:dyDescent="0.2">
      <c r="A16" s="7" t="s">
        <v>191</v>
      </c>
      <c r="G16" s="4"/>
      <c r="H16" s="4"/>
      <c r="I16" s="4"/>
      <c r="J16" s="4"/>
      <c r="K16" s="4"/>
      <c r="L16" s="4"/>
      <c r="M16" s="4"/>
    </row>
    <row r="17" spans="1:13" x14ac:dyDescent="0.2">
      <c r="G17" s="4"/>
      <c r="H17" s="4"/>
      <c r="I17" s="4"/>
      <c r="J17" s="4"/>
      <c r="K17" s="4"/>
      <c r="L17" s="4"/>
      <c r="M17" s="4"/>
    </row>
    <row r="18" spans="1:13" ht="16.5" thickBot="1" x14ac:dyDescent="0.3">
      <c r="A18" s="7"/>
      <c r="B18" s="20" t="s">
        <v>38</v>
      </c>
      <c r="G18" s="4"/>
      <c r="H18" s="4"/>
      <c r="I18" s="4"/>
      <c r="J18" s="4"/>
      <c r="K18" s="4"/>
      <c r="L18" s="4"/>
      <c r="M18" s="4"/>
    </row>
    <row r="19" spans="1:13" ht="15.75" thickBot="1" x14ac:dyDescent="0.25">
      <c r="A19" s="7" t="s">
        <v>155</v>
      </c>
      <c r="B19" s="31">
        <v>22</v>
      </c>
      <c r="C19" s="13" t="s">
        <v>8</v>
      </c>
      <c r="G19" s="4"/>
      <c r="H19" s="4"/>
      <c r="I19" s="4"/>
      <c r="J19" s="4"/>
      <c r="K19" s="4"/>
      <c r="L19" s="4"/>
      <c r="M19" s="4"/>
    </row>
    <row r="20" spans="1:13" ht="15.75" x14ac:dyDescent="0.25">
      <c r="A20" s="15" t="s">
        <v>256</v>
      </c>
      <c r="B20" s="12" t="s">
        <v>176</v>
      </c>
      <c r="C20" s="12" t="s">
        <v>177</v>
      </c>
      <c r="G20" s="4"/>
      <c r="H20" s="4"/>
      <c r="I20" s="4"/>
      <c r="J20" s="4"/>
      <c r="K20" s="4"/>
      <c r="L20" s="4"/>
      <c r="M20" s="4"/>
    </row>
    <row r="21" spans="1:13" ht="15.75" x14ac:dyDescent="0.25">
      <c r="A21" s="15" t="s">
        <v>192</v>
      </c>
      <c r="B21" s="12">
        <f>B19+273.2</f>
        <v>295.2</v>
      </c>
      <c r="C21" s="12" t="s">
        <v>177</v>
      </c>
      <c r="G21" s="4"/>
      <c r="H21" s="4"/>
      <c r="I21" s="4"/>
      <c r="J21" s="4"/>
      <c r="K21" s="4"/>
      <c r="L21" s="4"/>
      <c r="M21" s="4"/>
    </row>
    <row r="22" spans="1:13" ht="16.5" thickBot="1" x14ac:dyDescent="0.3">
      <c r="A22" s="7"/>
      <c r="B22" s="20" t="s">
        <v>38</v>
      </c>
      <c r="G22" s="4"/>
      <c r="H22" s="4"/>
      <c r="I22" s="4"/>
      <c r="J22" s="4"/>
      <c r="K22" s="4"/>
      <c r="L22" s="4"/>
      <c r="M22" s="4"/>
    </row>
    <row r="23" spans="1:13" ht="15.75" thickBot="1" x14ac:dyDescent="0.25">
      <c r="A23" s="7" t="s">
        <v>155</v>
      </c>
      <c r="B23" s="31">
        <v>70</v>
      </c>
      <c r="C23" s="13" t="s">
        <v>10</v>
      </c>
      <c r="G23" s="4"/>
      <c r="H23" s="4"/>
      <c r="I23" s="4"/>
      <c r="J23" s="4"/>
      <c r="K23" s="4"/>
      <c r="L23" s="4"/>
      <c r="M23" s="4"/>
    </row>
    <row r="24" spans="1:13" ht="15.75" x14ac:dyDescent="0.25">
      <c r="A24" s="15" t="s">
        <v>255</v>
      </c>
      <c r="B24" s="12" t="s">
        <v>190</v>
      </c>
      <c r="C24" s="12" t="s">
        <v>189</v>
      </c>
      <c r="G24" s="4"/>
      <c r="H24" s="4"/>
      <c r="I24" s="4"/>
      <c r="J24" s="4"/>
      <c r="K24" s="4"/>
      <c r="L24" s="4"/>
      <c r="M24" s="4"/>
    </row>
    <row r="25" spans="1:13" ht="15.75" x14ac:dyDescent="0.25">
      <c r="A25" s="15" t="s">
        <v>193</v>
      </c>
      <c r="B25" s="12">
        <f>B23+459.8</f>
        <v>529.79999999999995</v>
      </c>
      <c r="C25" s="12" t="s">
        <v>189</v>
      </c>
      <c r="G25" s="4"/>
      <c r="H25" s="4"/>
      <c r="I25" s="4"/>
      <c r="J25" s="4"/>
      <c r="K25" s="4"/>
      <c r="L25" s="4"/>
      <c r="M25" s="4"/>
    </row>
    <row r="26" spans="1:13" x14ac:dyDescent="0.2">
      <c r="G26" s="4"/>
      <c r="H26" s="4"/>
      <c r="I26" s="4"/>
      <c r="J26" s="4"/>
      <c r="K26" s="4"/>
      <c r="L26" s="4"/>
      <c r="M26" s="4"/>
    </row>
    <row r="27" spans="1:13" x14ac:dyDescent="0.2">
      <c r="G27" s="4"/>
      <c r="H27" s="4"/>
      <c r="I27" s="4"/>
      <c r="J27" s="4"/>
      <c r="K27" s="4"/>
      <c r="L27" s="4"/>
      <c r="M27" s="4"/>
    </row>
    <row r="28" spans="1:13" x14ac:dyDescent="0.2">
      <c r="A28" s="5"/>
      <c r="G28" s="4"/>
      <c r="H28" s="4"/>
      <c r="I28" s="4"/>
      <c r="J28" s="4"/>
      <c r="K28" s="4"/>
      <c r="L28" s="4"/>
      <c r="M28" s="4"/>
    </row>
    <row r="29" spans="1:13" x14ac:dyDescent="0.2">
      <c r="A29" s="5"/>
      <c r="G29" s="4"/>
      <c r="H29" s="4"/>
      <c r="I29" s="4"/>
      <c r="J29" s="4"/>
      <c r="K29" s="4"/>
      <c r="L29" s="4"/>
      <c r="M29" s="4"/>
    </row>
    <row r="30" spans="1:13" x14ac:dyDescent="0.2">
      <c r="A30" s="5"/>
      <c r="G30" s="4"/>
      <c r="H30" s="4"/>
      <c r="I30" s="4"/>
      <c r="J30" s="4"/>
      <c r="K30" s="4"/>
      <c r="L30" s="4"/>
      <c r="M30" s="4"/>
    </row>
    <row r="31" spans="1:13" x14ac:dyDescent="0.2">
      <c r="A31" s="5"/>
      <c r="G31" s="4"/>
      <c r="H31" s="4"/>
      <c r="I31" s="4"/>
      <c r="J31" s="4"/>
      <c r="K31" s="4"/>
      <c r="L31" s="4"/>
      <c r="M31" s="4"/>
    </row>
    <row r="32" spans="1:13" x14ac:dyDescent="0.2">
      <c r="A32" s="5"/>
      <c r="G32" s="4"/>
      <c r="H32" s="4"/>
      <c r="I32" s="4"/>
      <c r="J32" s="4"/>
      <c r="K32" s="4"/>
      <c r="L32" s="4"/>
      <c r="M32" s="4"/>
    </row>
    <row r="33" spans="1:13" x14ac:dyDescent="0.2">
      <c r="A33" s="5"/>
      <c r="G33" s="4"/>
      <c r="H33" s="4"/>
      <c r="I33" s="4"/>
      <c r="J33" s="4"/>
      <c r="K33" s="4"/>
      <c r="L33" s="4"/>
      <c r="M33" s="4"/>
    </row>
    <row r="34" spans="1:13" x14ac:dyDescent="0.2">
      <c r="A34" s="5"/>
      <c r="G34" s="4"/>
      <c r="H34" s="4"/>
      <c r="I34" s="4"/>
      <c r="J34" s="4"/>
      <c r="K34" s="4"/>
      <c r="L34" s="4"/>
      <c r="M34" s="4"/>
    </row>
    <row r="35" spans="1:13" x14ac:dyDescent="0.2">
      <c r="A35" s="5"/>
      <c r="G35" s="4"/>
      <c r="H35" s="4"/>
      <c r="I35" s="4"/>
      <c r="J35" s="4"/>
      <c r="K35" s="4"/>
      <c r="L35" s="4"/>
      <c r="M35" s="4"/>
    </row>
    <row r="36" spans="1:13" x14ac:dyDescent="0.2">
      <c r="A36" s="5"/>
      <c r="G36" s="4"/>
      <c r="H36" s="4"/>
      <c r="I36" s="4"/>
      <c r="J36" s="4"/>
      <c r="K36" s="4"/>
      <c r="L36" s="4"/>
      <c r="M36" s="4"/>
    </row>
    <row r="37" spans="1:13" x14ac:dyDescent="0.2">
      <c r="A37" s="5"/>
      <c r="G37" s="4"/>
      <c r="H37" s="4"/>
      <c r="I37" s="4"/>
      <c r="J37" s="4"/>
      <c r="K37" s="4"/>
      <c r="L37" s="4"/>
      <c r="M37" s="4"/>
    </row>
    <row r="38" spans="1:13" x14ac:dyDescent="0.2">
      <c r="A38" s="5"/>
      <c r="G38" s="4"/>
      <c r="H38" s="4"/>
      <c r="I38" s="4"/>
      <c r="J38" s="4"/>
      <c r="K38" s="4"/>
      <c r="L38" s="4"/>
      <c r="M38" s="4"/>
    </row>
    <row r="39" spans="1:13" ht="16.5" thickBot="1" x14ac:dyDescent="0.3">
      <c r="A39" s="2" t="s">
        <v>282</v>
      </c>
      <c r="B39" s="20" t="s">
        <v>38</v>
      </c>
      <c r="G39" s="4"/>
      <c r="H39" s="4"/>
      <c r="I39" s="4"/>
      <c r="J39" s="4"/>
      <c r="K39" s="4"/>
      <c r="L39" s="4"/>
      <c r="M39" s="4"/>
    </row>
    <row r="40" spans="1:13" x14ac:dyDescent="0.2">
      <c r="A40" s="7" t="s">
        <v>285</v>
      </c>
      <c r="B40" s="21">
        <v>0.91</v>
      </c>
      <c r="C40" s="13" t="s">
        <v>283</v>
      </c>
      <c r="G40" s="4"/>
      <c r="H40" s="4"/>
      <c r="I40" s="4"/>
      <c r="J40" s="4"/>
      <c r="K40" s="4"/>
      <c r="L40" s="4"/>
      <c r="M40" s="4"/>
    </row>
    <row r="41" spans="1:13" x14ac:dyDescent="0.2">
      <c r="A41" s="7" t="s">
        <v>287</v>
      </c>
      <c r="B41" s="75">
        <v>5.6697000000000001E-8</v>
      </c>
      <c r="C41" s="5" t="s">
        <v>284</v>
      </c>
      <c r="G41" s="4"/>
      <c r="H41" s="4"/>
      <c r="I41" s="4"/>
      <c r="J41" s="4"/>
      <c r="K41" s="4"/>
      <c r="L41" s="4"/>
      <c r="M41" s="4"/>
    </row>
    <row r="42" spans="1:13" x14ac:dyDescent="0.2">
      <c r="A42" s="7" t="s">
        <v>276</v>
      </c>
      <c r="B42" s="37">
        <v>20</v>
      </c>
      <c r="C42" s="13" t="s">
        <v>58</v>
      </c>
      <c r="G42" s="4"/>
      <c r="H42" s="4"/>
      <c r="I42" s="4"/>
      <c r="J42" s="4"/>
      <c r="K42" s="4"/>
      <c r="L42" s="4"/>
      <c r="M42" s="4"/>
    </row>
    <row r="43" spans="1:13" x14ac:dyDescent="0.2">
      <c r="A43" s="7" t="s">
        <v>277</v>
      </c>
      <c r="B43" s="37">
        <v>3</v>
      </c>
      <c r="C43" s="13" t="s">
        <v>58</v>
      </c>
      <c r="G43" s="4"/>
      <c r="H43" s="4"/>
      <c r="I43" s="4"/>
      <c r="J43" s="4"/>
      <c r="K43" s="4"/>
      <c r="L43" s="4"/>
      <c r="M43" s="4"/>
    </row>
    <row r="44" spans="1:13" ht="15.75" thickBot="1" x14ac:dyDescent="0.25">
      <c r="A44" s="7" t="s">
        <v>286</v>
      </c>
      <c r="B44" s="22">
        <v>38</v>
      </c>
      <c r="C44" s="13" t="s">
        <v>8</v>
      </c>
      <c r="G44" s="4"/>
      <c r="H44" s="4"/>
      <c r="I44" s="4"/>
      <c r="J44" s="4"/>
      <c r="K44" s="4"/>
      <c r="L44" s="4"/>
      <c r="M44" s="4"/>
    </row>
    <row r="45" spans="1:13" ht="15.75" x14ac:dyDescent="0.25">
      <c r="A45" s="7"/>
      <c r="B45" s="20" t="s">
        <v>274</v>
      </c>
      <c r="C45" s="13"/>
      <c r="G45" s="4"/>
      <c r="H45" s="4"/>
      <c r="I45" s="4"/>
      <c r="J45" s="4"/>
      <c r="K45" s="4"/>
      <c r="L45" s="4"/>
      <c r="M45" s="4"/>
    </row>
    <row r="46" spans="1:13" ht="15.75" x14ac:dyDescent="0.25">
      <c r="A46" s="15" t="s">
        <v>271</v>
      </c>
      <c r="B46" s="12" t="s">
        <v>279</v>
      </c>
      <c r="G46" s="4"/>
      <c r="H46" s="4"/>
      <c r="I46" s="4"/>
      <c r="J46" s="4"/>
      <c r="K46" s="4"/>
      <c r="L46" s="4"/>
      <c r="M46" s="4"/>
    </row>
    <row r="47" spans="1:13" ht="15.75" x14ac:dyDescent="0.25">
      <c r="A47" s="15" t="s">
        <v>278</v>
      </c>
      <c r="B47" s="73">
        <f>B42*B43</f>
        <v>60</v>
      </c>
      <c r="C47" s="12" t="s">
        <v>157</v>
      </c>
      <c r="G47" s="4"/>
      <c r="H47" s="4"/>
      <c r="I47" s="4"/>
      <c r="J47" s="4"/>
      <c r="K47" s="4"/>
      <c r="L47" s="4"/>
      <c r="M47" s="4"/>
    </row>
    <row r="48" spans="1:13" ht="15.75" x14ac:dyDescent="0.25">
      <c r="A48" s="15" t="s">
        <v>289</v>
      </c>
      <c r="B48" s="12" t="s">
        <v>290</v>
      </c>
      <c r="G48" s="4"/>
      <c r="H48" s="4"/>
      <c r="I48" s="4"/>
      <c r="J48" s="4"/>
      <c r="K48" s="4"/>
      <c r="L48" s="4"/>
      <c r="M48" s="4"/>
    </row>
    <row r="49" spans="1:13" ht="15.75" x14ac:dyDescent="0.25">
      <c r="A49" s="15" t="s">
        <v>291</v>
      </c>
      <c r="B49" s="12">
        <f>B44+273</f>
        <v>311</v>
      </c>
      <c r="C49" s="12" t="s">
        <v>292</v>
      </c>
      <c r="G49" s="4"/>
      <c r="H49" s="4"/>
      <c r="I49" s="4"/>
      <c r="J49" s="4"/>
      <c r="K49" s="4"/>
      <c r="L49" s="4"/>
      <c r="M49" s="4"/>
    </row>
    <row r="50" spans="1:13" ht="15.75" x14ac:dyDescent="0.25">
      <c r="A50" s="15" t="s">
        <v>590</v>
      </c>
      <c r="B50" s="12" t="s">
        <v>288</v>
      </c>
      <c r="G50" s="4"/>
      <c r="H50" s="4"/>
      <c r="I50" s="4"/>
      <c r="J50" s="4"/>
      <c r="K50" s="4"/>
      <c r="L50" s="4"/>
      <c r="M50" s="4"/>
    </row>
    <row r="51" spans="1:13" ht="15.75" x14ac:dyDescent="0.25">
      <c r="A51" s="15" t="s">
        <v>156</v>
      </c>
      <c r="B51" s="52">
        <f>B40*B41*B49^4</f>
        <v>482.6619111215511</v>
      </c>
      <c r="C51" s="12" t="s">
        <v>26</v>
      </c>
      <c r="F51" s="12" t="s">
        <v>0</v>
      </c>
      <c r="G51" s="4"/>
      <c r="H51" s="4"/>
      <c r="I51" s="4"/>
      <c r="J51" s="4"/>
      <c r="K51" s="4"/>
      <c r="L51" s="4"/>
      <c r="M51" s="4"/>
    </row>
    <row r="52" spans="1:13" x14ac:dyDescent="0.2">
      <c r="A52" s="84" t="s">
        <v>589</v>
      </c>
      <c r="H52" s="4"/>
      <c r="I52" s="4"/>
      <c r="J52" s="4"/>
      <c r="K52" s="4"/>
      <c r="L52" s="4"/>
      <c r="M52" s="4"/>
    </row>
    <row r="53" spans="1:13" x14ac:dyDescent="0.2">
      <c r="G53" s="4"/>
      <c r="H53" s="4"/>
      <c r="I53" s="4"/>
      <c r="J53" s="4"/>
      <c r="K53" s="4"/>
      <c r="L53" s="4"/>
      <c r="M53" s="4"/>
    </row>
    <row r="54" spans="1:13" x14ac:dyDescent="0.2">
      <c r="G54" s="4"/>
      <c r="H54" s="4"/>
      <c r="I54" s="4"/>
      <c r="J54" s="4"/>
      <c r="K54" s="4"/>
      <c r="L54" s="4"/>
      <c r="M54" s="4"/>
    </row>
    <row r="55" spans="1:13" x14ac:dyDescent="0.2">
      <c r="H55" s="4"/>
      <c r="I55" s="4"/>
      <c r="J55" s="4"/>
      <c r="K55" s="4"/>
      <c r="L55" s="4"/>
      <c r="M55" s="4"/>
    </row>
    <row r="56" spans="1:13" x14ac:dyDescent="0.2">
      <c r="G56" s="4"/>
      <c r="H56" s="4"/>
      <c r="I56" s="4"/>
      <c r="J56" s="4"/>
      <c r="K56" s="4"/>
      <c r="L56" s="4"/>
      <c r="M56" s="4"/>
    </row>
    <row r="57" spans="1:13" x14ac:dyDescent="0.2">
      <c r="G57" s="4"/>
      <c r="H57" s="4"/>
      <c r="I57" s="4"/>
      <c r="J57" s="4"/>
      <c r="K57" s="4"/>
      <c r="L57" s="4"/>
      <c r="M57" s="4"/>
    </row>
    <row r="58" spans="1:13" x14ac:dyDescent="0.2">
      <c r="A58" s="7"/>
      <c r="G58" s="4"/>
      <c r="H58" s="4"/>
      <c r="I58" s="4"/>
      <c r="J58" s="4"/>
      <c r="K58" s="4"/>
      <c r="L58" s="4"/>
      <c r="M58" s="4"/>
    </row>
    <row r="59" spans="1:13" x14ac:dyDescent="0.2">
      <c r="A59" s="7"/>
      <c r="G59" s="4"/>
      <c r="H59" s="4"/>
      <c r="I59" s="4"/>
      <c r="J59" s="4"/>
      <c r="K59" s="4"/>
      <c r="L59" s="4"/>
      <c r="M59" s="4"/>
    </row>
    <row r="60" spans="1:13" x14ac:dyDescent="0.2">
      <c r="A60" s="7"/>
      <c r="G60" s="4"/>
      <c r="H60" s="4"/>
      <c r="I60" s="4"/>
      <c r="J60" s="4"/>
      <c r="K60" s="4"/>
      <c r="L60" s="4"/>
      <c r="M60" s="4"/>
    </row>
    <row r="61" spans="1:13" x14ac:dyDescent="0.2">
      <c r="A61" s="7"/>
      <c r="G61" s="4"/>
      <c r="H61" s="4"/>
      <c r="I61" s="4"/>
      <c r="J61" s="4"/>
      <c r="K61" s="4"/>
      <c r="L61" s="4"/>
      <c r="M61" s="4"/>
    </row>
    <row r="62" spans="1:13" x14ac:dyDescent="0.2">
      <c r="A62" s="7"/>
      <c r="G62" s="4"/>
      <c r="H62" s="4"/>
      <c r="I62" s="4"/>
      <c r="J62" s="4"/>
      <c r="K62" s="4"/>
      <c r="L62" s="4"/>
      <c r="M62" s="4"/>
    </row>
    <row r="63" spans="1:13" x14ac:dyDescent="0.2">
      <c r="A63" s="7"/>
      <c r="G63" s="4"/>
      <c r="H63" s="4"/>
      <c r="I63" s="4"/>
      <c r="J63" s="4"/>
      <c r="K63" s="4"/>
      <c r="L63" s="4"/>
      <c r="M63" s="4"/>
    </row>
    <row r="64" spans="1:13" x14ac:dyDescent="0.2">
      <c r="A64" s="7"/>
      <c r="G64" s="4"/>
      <c r="H64" s="4"/>
      <c r="I64" s="4"/>
      <c r="J64" s="4"/>
      <c r="K64" s="4"/>
      <c r="L64" s="4"/>
      <c r="M64" s="4"/>
    </row>
    <row r="65" spans="1:13" x14ac:dyDescent="0.2">
      <c r="A65" s="7"/>
      <c r="G65" s="4"/>
      <c r="H65" s="4"/>
      <c r="I65" s="4"/>
      <c r="J65" s="4"/>
      <c r="K65" s="4"/>
      <c r="L65" s="4"/>
      <c r="M65" s="4"/>
    </row>
    <row r="66" spans="1:13" x14ac:dyDescent="0.2">
      <c r="A66" s="7"/>
      <c r="G66" s="4"/>
      <c r="H66" s="4"/>
      <c r="I66" s="4"/>
      <c r="J66" s="4"/>
      <c r="K66" s="4"/>
      <c r="L66" s="4"/>
      <c r="M66" s="4"/>
    </row>
    <row r="67" spans="1:13" x14ac:dyDescent="0.2">
      <c r="A67" s="7"/>
      <c r="G67" s="4"/>
      <c r="H67" s="4"/>
      <c r="I67" s="4"/>
      <c r="J67" s="4"/>
      <c r="K67" s="4"/>
      <c r="L67" s="4"/>
      <c r="M67" s="4"/>
    </row>
    <row r="68" spans="1:13" x14ac:dyDescent="0.2">
      <c r="A68" s="7"/>
      <c r="G68" s="4"/>
      <c r="H68" s="4"/>
      <c r="I68" s="4"/>
      <c r="J68" s="4"/>
      <c r="K68" s="4"/>
      <c r="L68" s="4"/>
      <c r="M68" s="4"/>
    </row>
    <row r="69" spans="1:13" x14ac:dyDescent="0.2">
      <c r="A69" s="7"/>
      <c r="G69" s="4"/>
      <c r="H69" s="4"/>
      <c r="I69" s="4"/>
      <c r="J69" s="4"/>
      <c r="K69" s="4"/>
      <c r="L69" s="4"/>
      <c r="M69" s="4"/>
    </row>
    <row r="70" spans="1:13" x14ac:dyDescent="0.2">
      <c r="A70" s="7"/>
      <c r="G70" s="4"/>
      <c r="H70" s="4"/>
      <c r="I70" s="4"/>
      <c r="J70" s="4"/>
      <c r="K70" s="4"/>
      <c r="L70" s="4"/>
      <c r="M70" s="4"/>
    </row>
    <row r="71" spans="1:13" x14ac:dyDescent="0.2">
      <c r="A71" s="7"/>
      <c r="G71" s="4"/>
      <c r="H71" s="4"/>
      <c r="I71" s="4"/>
      <c r="J71" s="4"/>
      <c r="K71" s="4"/>
      <c r="L71" s="4"/>
      <c r="M71" s="4"/>
    </row>
    <row r="72" spans="1:13" ht="15.75" x14ac:dyDescent="0.25">
      <c r="A72" s="2" t="s">
        <v>599</v>
      </c>
      <c r="B72" s="33"/>
      <c r="C72" s="33"/>
      <c r="D72" s="33"/>
      <c r="F72" s="12" t="s">
        <v>19</v>
      </c>
      <c r="G72" s="4"/>
      <c r="H72" s="4"/>
      <c r="I72" s="4"/>
      <c r="J72" s="4"/>
      <c r="K72" s="4"/>
      <c r="L72" s="4"/>
      <c r="M72" s="4"/>
    </row>
    <row r="73" spans="1:13" ht="15.75" x14ac:dyDescent="0.25">
      <c r="A73" s="15" t="s">
        <v>381</v>
      </c>
      <c r="B73" s="12" t="s">
        <v>185</v>
      </c>
      <c r="C73" s="2" t="s">
        <v>186</v>
      </c>
      <c r="D73" s="33"/>
      <c r="G73" s="4"/>
      <c r="H73" s="4"/>
      <c r="I73" s="4"/>
      <c r="J73" s="4"/>
      <c r="K73" s="4"/>
      <c r="L73" s="4"/>
      <c r="M73" s="4"/>
    </row>
    <row r="74" spans="1:13" ht="15.75" x14ac:dyDescent="0.25">
      <c r="A74" s="15"/>
      <c r="B74" s="12"/>
      <c r="C74" s="2"/>
      <c r="D74" s="33"/>
      <c r="G74" s="4"/>
      <c r="H74" s="4"/>
      <c r="I74" s="4"/>
      <c r="J74" s="4"/>
      <c r="K74" s="4"/>
      <c r="L74" s="4"/>
      <c r="M74" s="4"/>
    </row>
    <row r="75" spans="1:13" ht="15.75" x14ac:dyDescent="0.25">
      <c r="A75" s="15" t="s">
        <v>187</v>
      </c>
      <c r="B75" s="77">
        <v>5.6697000000000001E-8</v>
      </c>
      <c r="C75" s="2" t="s">
        <v>186</v>
      </c>
      <c r="D75" s="33"/>
      <c r="G75" s="4"/>
      <c r="H75" s="4"/>
      <c r="I75" s="4"/>
      <c r="J75" s="4"/>
      <c r="K75" s="4"/>
      <c r="L75" s="4"/>
      <c r="M75" s="4"/>
    </row>
    <row r="76" spans="1:13" ht="15.75" x14ac:dyDescent="0.25">
      <c r="A76" s="15"/>
      <c r="B76" s="12"/>
      <c r="C76" s="2"/>
      <c r="D76" s="33"/>
      <c r="G76" s="4"/>
      <c r="H76" s="4"/>
      <c r="I76" s="4"/>
      <c r="J76" s="4"/>
      <c r="K76" s="4"/>
      <c r="L76" s="4"/>
      <c r="M76" s="4"/>
    </row>
    <row r="77" spans="1:13" ht="15.75" x14ac:dyDescent="0.25">
      <c r="A77" s="15" t="s">
        <v>187</v>
      </c>
      <c r="B77" s="12">
        <v>1.7140000000000001E-9</v>
      </c>
      <c r="C77" s="2" t="s">
        <v>188</v>
      </c>
      <c r="D77" s="33"/>
      <c r="G77" s="4"/>
      <c r="H77" s="4"/>
      <c r="I77" s="4"/>
      <c r="J77" s="4"/>
      <c r="K77" s="4"/>
      <c r="L77" s="4"/>
      <c r="M77" s="4"/>
    </row>
    <row r="78" spans="1:13" ht="15.75" x14ac:dyDescent="0.25">
      <c r="A78" s="15"/>
      <c r="B78" s="33"/>
      <c r="C78" s="2"/>
      <c r="D78" s="33"/>
      <c r="G78" s="4"/>
      <c r="H78" s="4"/>
      <c r="I78" s="4"/>
      <c r="J78" s="4"/>
      <c r="K78" s="4"/>
      <c r="L78" s="4"/>
      <c r="M78" s="4"/>
    </row>
    <row r="79" spans="1:13" ht="15.75" x14ac:dyDescent="0.25">
      <c r="A79" s="15" t="s">
        <v>196</v>
      </c>
      <c r="B79" s="12" t="s">
        <v>197</v>
      </c>
      <c r="C79" s="2" t="s">
        <v>186</v>
      </c>
      <c r="D79" s="33"/>
      <c r="G79" s="4"/>
      <c r="H79" s="4"/>
      <c r="I79" s="4"/>
      <c r="J79" s="4"/>
      <c r="K79" s="4"/>
      <c r="L79" s="4"/>
      <c r="M79" s="4"/>
    </row>
    <row r="80" spans="1:13" ht="15.75" x14ac:dyDescent="0.25">
      <c r="A80" s="15" t="s">
        <v>195</v>
      </c>
      <c r="B80" s="12" t="s">
        <v>194</v>
      </c>
      <c r="C80" s="2"/>
      <c r="D80" s="33"/>
      <c r="G80" s="4"/>
      <c r="H80" s="4"/>
      <c r="I80" s="4"/>
      <c r="J80" s="4"/>
      <c r="K80" s="4"/>
      <c r="L80" s="4"/>
      <c r="M80" s="4"/>
    </row>
    <row r="81" spans="1:13" ht="15.75" x14ac:dyDescent="0.25">
      <c r="A81" s="15"/>
      <c r="B81" s="33"/>
      <c r="C81" s="2"/>
      <c r="D81" s="33"/>
      <c r="G81" s="4"/>
      <c r="H81" s="4"/>
      <c r="I81" s="4"/>
      <c r="J81" s="4"/>
      <c r="K81" s="4"/>
      <c r="L81" s="4"/>
      <c r="M81" s="4"/>
    </row>
    <row r="82" spans="1:13" ht="15.75" x14ac:dyDescent="0.25">
      <c r="A82" s="15" t="s">
        <v>600</v>
      </c>
      <c r="B82" s="12" t="s">
        <v>203</v>
      </c>
      <c r="C82" s="2"/>
      <c r="D82" s="33"/>
      <c r="G82" s="4"/>
      <c r="H82" s="4"/>
      <c r="I82" s="4"/>
      <c r="J82" s="4"/>
      <c r="K82" s="4"/>
      <c r="L82" s="4"/>
      <c r="M82" s="4"/>
    </row>
    <row r="83" spans="1:13" ht="15.75" x14ac:dyDescent="0.25">
      <c r="A83" s="15" t="s">
        <v>198</v>
      </c>
      <c r="B83" s="12" t="s">
        <v>200</v>
      </c>
      <c r="C83" s="2" t="s">
        <v>186</v>
      </c>
      <c r="D83" s="33"/>
      <c r="G83" s="4"/>
      <c r="H83" s="4"/>
      <c r="I83" s="4"/>
      <c r="J83" s="4"/>
      <c r="K83" s="4"/>
      <c r="L83" s="4"/>
      <c r="M83" s="4"/>
    </row>
    <row r="84" spans="1:13" ht="15.75" x14ac:dyDescent="0.25">
      <c r="A84" s="15" t="s">
        <v>199</v>
      </c>
      <c r="B84" s="12" t="s">
        <v>201</v>
      </c>
      <c r="C84" s="2" t="s">
        <v>186</v>
      </c>
      <c r="D84" s="33"/>
      <c r="G84" s="4"/>
      <c r="H84" s="4"/>
      <c r="I84" s="4"/>
      <c r="J84" s="4"/>
      <c r="K84" s="4"/>
      <c r="L84" s="4"/>
      <c r="M84" s="4"/>
    </row>
    <row r="85" spans="1:13" ht="15.75" x14ac:dyDescent="0.25">
      <c r="A85" s="15" t="s">
        <v>202</v>
      </c>
      <c r="B85" s="12"/>
      <c r="C85" s="12"/>
      <c r="D85" s="33"/>
      <c r="G85" s="4"/>
      <c r="H85" s="4"/>
      <c r="I85" s="4"/>
      <c r="J85" s="4"/>
      <c r="K85" s="4"/>
      <c r="L85" s="4"/>
      <c r="M85" s="4"/>
    </row>
    <row r="86" spans="1:13" ht="15.75" x14ac:dyDescent="0.25">
      <c r="A86" s="15" t="s">
        <v>204</v>
      </c>
      <c r="B86" s="12"/>
      <c r="C86" s="12"/>
      <c r="D86" s="33"/>
      <c r="G86" s="4"/>
      <c r="H86" s="4"/>
      <c r="I86" s="4"/>
      <c r="J86" s="4"/>
      <c r="K86" s="4"/>
      <c r="L86" s="4"/>
      <c r="M86" s="4"/>
    </row>
    <row r="87" spans="1:13" ht="15.75" x14ac:dyDescent="0.25">
      <c r="A87" s="15" t="s">
        <v>205</v>
      </c>
      <c r="B87" s="34">
        <v>1</v>
      </c>
      <c r="C87" s="12"/>
      <c r="D87" s="33"/>
      <c r="G87" s="4"/>
      <c r="H87" s="4"/>
      <c r="I87" s="4"/>
      <c r="J87" s="4"/>
      <c r="K87" s="4"/>
      <c r="L87" s="4"/>
      <c r="M87" s="4"/>
    </row>
    <row r="88" spans="1:13" ht="15.75" x14ac:dyDescent="0.25">
      <c r="A88" s="15"/>
      <c r="B88" s="12"/>
      <c r="C88" s="12"/>
      <c r="D88" s="33"/>
      <c r="G88" s="4"/>
      <c r="H88" s="4"/>
      <c r="I88" s="4"/>
      <c r="J88" s="4"/>
      <c r="K88" s="4"/>
      <c r="L88" s="4"/>
      <c r="M88" s="4"/>
    </row>
    <row r="89" spans="1:13" ht="15.75" x14ac:dyDescent="0.25">
      <c r="A89" s="15" t="s">
        <v>240</v>
      </c>
      <c r="B89" s="2" t="s">
        <v>239</v>
      </c>
      <c r="C89" s="33"/>
      <c r="D89" s="2" t="s">
        <v>186</v>
      </c>
      <c r="G89" s="4"/>
      <c r="H89" s="4"/>
      <c r="I89" s="4"/>
      <c r="J89" s="4"/>
      <c r="K89" s="4"/>
      <c r="L89" s="4"/>
      <c r="M89" s="4"/>
    </row>
    <row r="90" spans="1:13" x14ac:dyDescent="0.2">
      <c r="G90" s="4"/>
      <c r="H90" s="4"/>
      <c r="I90" s="4"/>
      <c r="J90" s="4"/>
      <c r="K90" s="4"/>
      <c r="L90" s="4"/>
      <c r="M90" s="4"/>
    </row>
    <row r="91" spans="1:13" x14ac:dyDescent="0.2">
      <c r="A91" s="7"/>
      <c r="F91" s="13"/>
      <c r="G91" s="4"/>
      <c r="H91" s="4"/>
      <c r="I91" s="4"/>
      <c r="J91" s="4"/>
      <c r="K91" s="4"/>
      <c r="L91" s="4"/>
      <c r="M91" s="4"/>
    </row>
    <row r="92" spans="1:13" ht="15.75" x14ac:dyDescent="0.25">
      <c r="A92" s="2" t="s">
        <v>282</v>
      </c>
      <c r="B92" s="13"/>
      <c r="G92" s="4"/>
      <c r="H92" s="4"/>
      <c r="I92" s="4"/>
      <c r="J92" s="4"/>
      <c r="K92" s="4"/>
      <c r="L92" s="4"/>
      <c r="M92" s="4"/>
    </row>
    <row r="93" spans="1:13" x14ac:dyDescent="0.2">
      <c r="A93" s="5" t="s">
        <v>227</v>
      </c>
      <c r="G93" s="4"/>
      <c r="H93" s="4"/>
      <c r="I93" s="4"/>
      <c r="J93" s="4"/>
      <c r="K93" s="4"/>
      <c r="L93" s="4"/>
      <c r="M93" s="4"/>
    </row>
    <row r="94" spans="1:13" x14ac:dyDescent="0.2">
      <c r="A94" s="5" t="s">
        <v>380</v>
      </c>
      <c r="C94" s="13"/>
      <c r="G94" s="4"/>
      <c r="H94" s="4"/>
      <c r="I94" s="4"/>
      <c r="J94" s="4"/>
      <c r="K94" s="4"/>
      <c r="L94" s="4"/>
      <c r="M94" s="4"/>
    </row>
    <row r="95" spans="1:13" ht="16.5" thickBot="1" x14ac:dyDescent="0.3">
      <c r="B95" s="20" t="s">
        <v>38</v>
      </c>
      <c r="D95" s="7"/>
      <c r="E95" s="17"/>
      <c r="G95" s="4"/>
      <c r="H95" s="4"/>
      <c r="I95" s="4"/>
      <c r="J95" s="4"/>
      <c r="K95" s="4"/>
      <c r="L95" s="4"/>
      <c r="M95" s="4"/>
    </row>
    <row r="96" spans="1:13" x14ac:dyDescent="0.2">
      <c r="A96" s="7" t="s">
        <v>206</v>
      </c>
      <c r="B96" s="21">
        <v>20</v>
      </c>
      <c r="C96" s="13" t="s">
        <v>11</v>
      </c>
      <c r="G96" s="4"/>
      <c r="H96" s="4"/>
      <c r="I96" s="4"/>
      <c r="J96" s="4"/>
      <c r="K96" s="4"/>
      <c r="L96" s="4"/>
      <c r="M96" s="4"/>
    </row>
    <row r="97" spans="1:13" x14ac:dyDescent="0.2">
      <c r="A97" s="7" t="s">
        <v>223</v>
      </c>
      <c r="B97" s="36">
        <v>85</v>
      </c>
      <c r="C97" s="13" t="s">
        <v>33</v>
      </c>
      <c r="G97" s="4"/>
      <c r="H97" s="4"/>
      <c r="I97" s="4"/>
      <c r="J97" s="4"/>
      <c r="K97" s="4"/>
      <c r="L97" s="4"/>
      <c r="M97" s="4"/>
    </row>
    <row r="98" spans="1:13" x14ac:dyDescent="0.2">
      <c r="A98" s="7" t="s">
        <v>601</v>
      </c>
      <c r="B98" s="36">
        <v>0.8</v>
      </c>
      <c r="C98" s="13"/>
      <c r="G98" s="4"/>
      <c r="H98" s="4"/>
      <c r="I98" s="4"/>
      <c r="J98" s="4"/>
      <c r="K98" s="4"/>
      <c r="L98" s="4"/>
      <c r="M98" s="4"/>
    </row>
    <row r="99" spans="1:13" x14ac:dyDescent="0.2">
      <c r="A99" s="7" t="s">
        <v>228</v>
      </c>
      <c r="B99" s="36">
        <v>20</v>
      </c>
      <c r="C99" s="13" t="s">
        <v>33</v>
      </c>
      <c r="G99" s="4"/>
      <c r="H99" s="4"/>
      <c r="I99" s="4"/>
      <c r="J99" s="4"/>
      <c r="K99" s="4"/>
      <c r="L99" s="4"/>
      <c r="M99" s="4"/>
    </row>
    <row r="100" spans="1:13" x14ac:dyDescent="0.2">
      <c r="A100" s="7" t="s">
        <v>222</v>
      </c>
      <c r="B100" s="36">
        <v>18</v>
      </c>
      <c r="C100" s="13" t="s">
        <v>33</v>
      </c>
      <c r="G100" s="4"/>
      <c r="H100" s="4"/>
      <c r="I100" s="4"/>
      <c r="J100" s="4"/>
      <c r="K100" s="4"/>
      <c r="L100" s="4"/>
      <c r="M100" s="4"/>
    </row>
    <row r="101" spans="1:13" ht="15.75" thickBot="1" x14ac:dyDescent="0.25">
      <c r="A101" s="7" t="s">
        <v>207</v>
      </c>
      <c r="B101" s="22">
        <v>5.5</v>
      </c>
      <c r="C101" s="13" t="s">
        <v>208</v>
      </c>
      <c r="D101" s="13">
        <v>0.96</v>
      </c>
      <c r="E101" s="5" t="s">
        <v>209</v>
      </c>
      <c r="G101" s="4"/>
      <c r="H101" s="4"/>
      <c r="I101" s="4"/>
      <c r="J101" s="4"/>
      <c r="K101" s="4"/>
      <c r="L101" s="4"/>
      <c r="M101" s="4"/>
    </row>
    <row r="102" spans="1:13" ht="15.75" x14ac:dyDescent="0.25">
      <c r="F102" s="12" t="s">
        <v>24</v>
      </c>
      <c r="G102" s="4"/>
      <c r="H102" s="4"/>
      <c r="I102" s="4"/>
      <c r="J102" s="4"/>
      <c r="K102" s="4"/>
      <c r="L102" s="4"/>
      <c r="M102" s="4"/>
    </row>
    <row r="103" spans="1:13" x14ac:dyDescent="0.2">
      <c r="B103" s="13"/>
      <c r="C103" s="13"/>
      <c r="G103" s="4"/>
      <c r="H103" s="4"/>
      <c r="I103" s="4"/>
      <c r="J103" s="4"/>
      <c r="K103" s="4"/>
      <c r="L103" s="4"/>
      <c r="M103" s="4"/>
    </row>
    <row r="104" spans="1:13" x14ac:dyDescent="0.2">
      <c r="A104" s="7"/>
      <c r="B104" s="13"/>
      <c r="C104" s="13"/>
      <c r="G104" s="4"/>
      <c r="H104" s="4"/>
      <c r="I104" s="4"/>
      <c r="J104" s="4"/>
      <c r="K104" s="4"/>
      <c r="L104" s="4"/>
      <c r="M104" s="4"/>
    </row>
    <row r="105" spans="1:13" ht="15.75" x14ac:dyDescent="0.25">
      <c r="A105" s="2" t="s">
        <v>218</v>
      </c>
      <c r="B105" s="20" t="s">
        <v>39</v>
      </c>
      <c r="G105" s="4"/>
      <c r="H105" s="4"/>
      <c r="I105" s="4"/>
      <c r="J105" s="4"/>
      <c r="K105" s="4"/>
      <c r="L105" s="4"/>
      <c r="M105" s="4"/>
    </row>
    <row r="106" spans="1:13" ht="15.75" x14ac:dyDescent="0.25">
      <c r="A106" s="15" t="s">
        <v>187</v>
      </c>
      <c r="B106" s="77">
        <v>5.6697000000000001E-8</v>
      </c>
      <c r="C106" s="2" t="s">
        <v>186</v>
      </c>
      <c r="G106" s="4"/>
      <c r="H106" s="4"/>
      <c r="I106" s="4"/>
      <c r="J106" s="4"/>
      <c r="K106" s="4"/>
      <c r="L106" s="4"/>
      <c r="M106" s="4"/>
    </row>
    <row r="107" spans="1:13" ht="15.75" x14ac:dyDescent="0.25">
      <c r="A107" s="15" t="s">
        <v>210</v>
      </c>
      <c r="B107" s="12" t="s">
        <v>214</v>
      </c>
      <c r="C107" s="12"/>
      <c r="G107" s="4"/>
      <c r="H107" s="4"/>
      <c r="I107" s="4"/>
      <c r="J107" s="4"/>
      <c r="K107" s="4"/>
      <c r="L107" s="4"/>
      <c r="M107" s="4"/>
    </row>
    <row r="108" spans="1:13" ht="15.75" x14ac:dyDescent="0.25">
      <c r="A108" s="15" t="s">
        <v>216</v>
      </c>
      <c r="B108" s="12">
        <f>B97+273</f>
        <v>358</v>
      </c>
      <c r="C108" s="12" t="s">
        <v>177</v>
      </c>
      <c r="G108" s="4"/>
      <c r="H108" s="4"/>
      <c r="I108" s="4"/>
      <c r="J108" s="4"/>
      <c r="K108" s="4"/>
      <c r="L108" s="4"/>
      <c r="M108" s="4"/>
    </row>
    <row r="109" spans="1:13" ht="15.75" x14ac:dyDescent="0.25">
      <c r="A109" s="15" t="s">
        <v>211</v>
      </c>
      <c r="B109" s="12" t="s">
        <v>215</v>
      </c>
      <c r="G109" s="4"/>
      <c r="H109" s="4"/>
      <c r="I109" s="4"/>
      <c r="J109" s="4"/>
      <c r="K109" s="4"/>
      <c r="L109" s="4"/>
      <c r="M109" s="4"/>
    </row>
    <row r="110" spans="1:13" ht="15.75" x14ac:dyDescent="0.25">
      <c r="A110" s="15" t="s">
        <v>217</v>
      </c>
      <c r="B110" s="12">
        <f>B99+273</f>
        <v>293</v>
      </c>
      <c r="C110" s="12" t="s">
        <v>177</v>
      </c>
      <c r="G110" s="4"/>
      <c r="H110" s="4"/>
      <c r="I110" s="4"/>
      <c r="J110" s="4"/>
      <c r="K110" s="4"/>
      <c r="L110" s="4"/>
      <c r="M110" s="4"/>
    </row>
    <row r="111" spans="1:13" x14ac:dyDescent="0.2">
      <c r="A111" s="7"/>
      <c r="G111" s="4"/>
      <c r="H111" s="4"/>
      <c r="I111" s="4"/>
      <c r="J111" s="4"/>
      <c r="K111" s="4"/>
      <c r="L111" s="4"/>
      <c r="M111" s="4"/>
    </row>
    <row r="112" spans="1:13" ht="15.75" x14ac:dyDescent="0.25">
      <c r="A112" s="15" t="s">
        <v>212</v>
      </c>
      <c r="B112" s="12"/>
      <c r="C112" s="12"/>
      <c r="G112" s="4"/>
      <c r="H112" s="4"/>
      <c r="I112" s="4"/>
      <c r="J112" s="4"/>
      <c r="K112" s="4"/>
      <c r="L112" s="4"/>
      <c r="M112" s="4"/>
    </row>
    <row r="113" spans="1:13" ht="15.75" x14ac:dyDescent="0.25">
      <c r="A113" s="15" t="s">
        <v>602</v>
      </c>
      <c r="B113" s="34">
        <v>1</v>
      </c>
      <c r="C113" s="2" t="s">
        <v>232</v>
      </c>
      <c r="G113" s="4"/>
      <c r="H113" s="4"/>
      <c r="I113" s="4"/>
      <c r="J113" s="4"/>
      <c r="K113" s="4"/>
      <c r="L113" s="4"/>
      <c r="M113" s="4"/>
    </row>
    <row r="114" spans="1:13" ht="15.75" x14ac:dyDescent="0.25">
      <c r="A114" s="15" t="s">
        <v>213</v>
      </c>
      <c r="B114" s="2" t="s">
        <v>241</v>
      </c>
      <c r="C114" s="12"/>
      <c r="G114" s="4"/>
      <c r="H114" s="4"/>
      <c r="I114" s="4"/>
      <c r="J114" s="4"/>
      <c r="K114" s="4"/>
      <c r="L114" s="4"/>
      <c r="M114" s="4"/>
    </row>
    <row r="115" spans="1:13" ht="15.75" x14ac:dyDescent="0.25">
      <c r="A115" s="15" t="s">
        <v>226</v>
      </c>
      <c r="B115" s="53">
        <f>B98*B106*B113*(B108^4-B110^4)</f>
        <v>410.75661560497207</v>
      </c>
      <c r="C115" s="2" t="s">
        <v>232</v>
      </c>
      <c r="G115" s="4"/>
      <c r="H115" s="4"/>
      <c r="I115" s="4"/>
      <c r="J115" s="4"/>
      <c r="K115" s="4"/>
      <c r="L115" s="4"/>
      <c r="M115" s="4"/>
    </row>
    <row r="116" spans="1:13" x14ac:dyDescent="0.2">
      <c r="A116" s="7"/>
      <c r="G116" s="4"/>
      <c r="H116" s="4"/>
      <c r="I116" s="4"/>
      <c r="J116" s="4"/>
      <c r="K116" s="4"/>
      <c r="L116" s="4"/>
      <c r="M116" s="4"/>
    </row>
    <row r="117" spans="1:13" ht="15.75" x14ac:dyDescent="0.25">
      <c r="A117" s="2" t="s">
        <v>219</v>
      </c>
      <c r="B117" s="13"/>
      <c r="C117" s="13"/>
      <c r="G117" s="4"/>
      <c r="H117" s="4"/>
      <c r="I117" s="4"/>
      <c r="J117" s="4"/>
      <c r="K117" s="4"/>
      <c r="L117" s="4"/>
      <c r="M117" s="4"/>
    </row>
    <row r="118" spans="1:13" ht="15.75" x14ac:dyDescent="0.25">
      <c r="A118" s="15" t="s">
        <v>220</v>
      </c>
      <c r="B118" s="2" t="s">
        <v>221</v>
      </c>
      <c r="C118" s="13"/>
      <c r="G118" s="4"/>
      <c r="H118" s="4"/>
      <c r="I118" s="4"/>
      <c r="J118" s="4"/>
      <c r="K118" s="4"/>
      <c r="L118" s="4"/>
      <c r="M118" s="4"/>
    </row>
    <row r="119" spans="1:13" ht="15.75" x14ac:dyDescent="0.25">
      <c r="A119" s="15" t="s">
        <v>225</v>
      </c>
      <c r="B119" s="12">
        <f>B101*(B97-B100)</f>
        <v>368.5</v>
      </c>
      <c r="C119" s="12" t="s">
        <v>224</v>
      </c>
      <c r="G119" s="4"/>
      <c r="H119" s="4"/>
      <c r="I119" s="4"/>
      <c r="J119" s="4"/>
      <c r="K119" s="4"/>
      <c r="L119" s="4"/>
      <c r="M119" s="4"/>
    </row>
    <row r="120" spans="1:13" x14ac:dyDescent="0.2">
      <c r="A120" s="7"/>
      <c r="B120" s="13"/>
      <c r="C120" s="13"/>
      <c r="G120" s="4"/>
      <c r="H120" s="4"/>
      <c r="I120" s="4"/>
      <c r="J120" s="4"/>
      <c r="K120" s="4"/>
      <c r="L120" s="4"/>
      <c r="M120" s="4"/>
    </row>
    <row r="121" spans="1:13" ht="15.75" x14ac:dyDescent="0.25">
      <c r="A121" s="2" t="s">
        <v>229</v>
      </c>
      <c r="B121" s="13"/>
      <c r="C121" s="13"/>
      <c r="G121" s="4"/>
      <c r="H121" s="4"/>
      <c r="I121" s="4"/>
      <c r="J121" s="4"/>
      <c r="K121" s="4"/>
      <c r="L121" s="4"/>
      <c r="M121" s="4"/>
    </row>
    <row r="122" spans="1:13" ht="15.75" x14ac:dyDescent="0.25">
      <c r="A122" s="15" t="s">
        <v>230</v>
      </c>
      <c r="B122" s="12" t="s">
        <v>231</v>
      </c>
      <c r="C122" s="13"/>
      <c r="G122" s="4"/>
      <c r="H122" s="4"/>
      <c r="I122" s="4"/>
      <c r="J122" s="4"/>
      <c r="K122" s="4"/>
      <c r="L122" s="4"/>
      <c r="M122" s="4"/>
    </row>
    <row r="123" spans="1:13" ht="15.75" x14ac:dyDescent="0.25">
      <c r="A123" s="15" t="s">
        <v>230</v>
      </c>
      <c r="B123" s="53">
        <f>B115+B119</f>
        <v>779.25661560497201</v>
      </c>
      <c r="C123" s="12" t="s">
        <v>224</v>
      </c>
      <c r="G123" s="4"/>
      <c r="H123" s="4"/>
      <c r="I123" s="4"/>
      <c r="J123" s="4"/>
      <c r="K123" s="4"/>
      <c r="L123" s="4"/>
      <c r="M123" s="4"/>
    </row>
    <row r="124" spans="1:13" x14ac:dyDescent="0.2">
      <c r="G124" s="4"/>
      <c r="H124" s="4"/>
      <c r="I124" s="4"/>
      <c r="J124" s="4"/>
      <c r="K124" s="4"/>
      <c r="L124" s="4"/>
      <c r="M124" s="4"/>
    </row>
    <row r="125" spans="1:13" x14ac:dyDescent="0.2">
      <c r="G125" s="4"/>
      <c r="H125" s="4"/>
      <c r="I125" s="4"/>
      <c r="J125" s="4"/>
      <c r="K125" s="4"/>
      <c r="L125" s="4"/>
      <c r="M125" s="4"/>
    </row>
    <row r="126" spans="1:13" ht="15.75" x14ac:dyDescent="0.25">
      <c r="A126" s="2" t="s">
        <v>489</v>
      </c>
      <c r="G126" s="4"/>
      <c r="H126" s="4"/>
      <c r="I126" s="4"/>
      <c r="J126" s="4"/>
      <c r="K126" s="4"/>
      <c r="L126" s="4"/>
      <c r="M126" s="4"/>
    </row>
    <row r="127" spans="1:13" x14ac:dyDescent="0.2">
      <c r="G127" s="4"/>
      <c r="H127" s="4"/>
      <c r="I127" s="4"/>
      <c r="J127" s="4"/>
      <c r="K127" s="4"/>
      <c r="L127" s="4"/>
      <c r="M127" s="4"/>
    </row>
    <row r="128" spans="1:13" x14ac:dyDescent="0.2">
      <c r="G128" s="4"/>
      <c r="H128" s="4"/>
      <c r="I128" s="4"/>
      <c r="J128" s="4"/>
      <c r="K128" s="4"/>
      <c r="L128" s="4"/>
      <c r="M128" s="4"/>
    </row>
    <row r="129" spans="7:13" x14ac:dyDescent="0.2">
      <c r="G129" s="4"/>
      <c r="H129" s="4"/>
      <c r="I129" s="4"/>
      <c r="J129" s="4"/>
      <c r="K129" s="4"/>
      <c r="L129" s="4"/>
      <c r="M129" s="4"/>
    </row>
    <row r="130" spans="7:13" x14ac:dyDescent="0.2">
      <c r="G130" s="4"/>
      <c r="H130" s="4"/>
      <c r="I130" s="4"/>
      <c r="J130" s="4"/>
      <c r="K130" s="4"/>
      <c r="L130" s="4"/>
      <c r="M130" s="4"/>
    </row>
    <row r="131" spans="7:13" x14ac:dyDescent="0.2">
      <c r="G131" s="4"/>
      <c r="H131" s="4"/>
      <c r="I131" s="4"/>
      <c r="J131" s="4"/>
      <c r="K131" s="4"/>
      <c r="L131" s="4"/>
      <c r="M131" s="4"/>
    </row>
    <row r="132" spans="7:13" x14ac:dyDescent="0.2">
      <c r="G132" s="4"/>
      <c r="H132" s="4"/>
      <c r="I132" s="4"/>
      <c r="J132" s="4"/>
      <c r="K132" s="4"/>
      <c r="L132" s="4"/>
      <c r="M132" s="4"/>
    </row>
    <row r="133" spans="7:13" x14ac:dyDescent="0.2">
      <c r="G133" s="4"/>
      <c r="H133" s="4"/>
      <c r="I133" s="4"/>
      <c r="J133" s="4"/>
      <c r="K133" s="4"/>
      <c r="L133" s="4"/>
      <c r="M133" s="4"/>
    </row>
    <row r="134" spans="7:13" x14ac:dyDescent="0.2">
      <c r="G134" s="4"/>
      <c r="H134" s="4"/>
      <c r="I134" s="4"/>
      <c r="J134" s="4"/>
      <c r="K134" s="4"/>
      <c r="L134" s="4"/>
      <c r="M134" s="4"/>
    </row>
    <row r="135" spans="7:13" x14ac:dyDescent="0.2">
      <c r="G135" s="4"/>
      <c r="H135" s="4"/>
      <c r="I135" s="4"/>
      <c r="J135" s="4"/>
      <c r="K135" s="4"/>
      <c r="L135" s="4"/>
      <c r="M135" s="4"/>
    </row>
    <row r="136" spans="7:13" x14ac:dyDescent="0.2">
      <c r="G136" s="4"/>
      <c r="H136" s="4"/>
      <c r="I136" s="4"/>
      <c r="J136" s="4"/>
      <c r="K136" s="4"/>
      <c r="L136" s="4"/>
      <c r="M136" s="4"/>
    </row>
    <row r="137" spans="7:13" x14ac:dyDescent="0.2">
      <c r="G137" s="4"/>
      <c r="H137" s="4"/>
      <c r="I137" s="4"/>
      <c r="J137" s="4"/>
      <c r="K137" s="4"/>
      <c r="L137" s="4"/>
      <c r="M137" s="4"/>
    </row>
    <row r="138" spans="7:13" x14ac:dyDescent="0.2">
      <c r="G138" s="4"/>
      <c r="H138" s="4"/>
      <c r="I138" s="4"/>
      <c r="J138" s="4"/>
      <c r="K138" s="4"/>
      <c r="L138" s="4"/>
      <c r="M138" s="4"/>
    </row>
    <row r="139" spans="7:13" x14ac:dyDescent="0.2">
      <c r="G139" s="4"/>
      <c r="H139" s="4"/>
      <c r="I139" s="4"/>
      <c r="J139" s="4"/>
      <c r="K139" s="4"/>
      <c r="L139" s="4"/>
      <c r="M139" s="4"/>
    </row>
    <row r="140" spans="7:13" x14ac:dyDescent="0.2">
      <c r="G140" s="4"/>
      <c r="H140" s="4"/>
      <c r="I140" s="4"/>
      <c r="J140" s="4"/>
      <c r="K140" s="4"/>
      <c r="L140" s="4"/>
      <c r="M140" s="4"/>
    </row>
    <row r="141" spans="7:13" x14ac:dyDescent="0.2">
      <c r="G141" s="4"/>
      <c r="H141" s="4"/>
      <c r="I141" s="4"/>
      <c r="J141" s="4"/>
      <c r="K141" s="4"/>
      <c r="L141" s="4"/>
      <c r="M141" s="4"/>
    </row>
    <row r="142" spans="7:13" x14ac:dyDescent="0.2">
      <c r="G142" s="4"/>
      <c r="H142" s="4"/>
      <c r="I142" s="4"/>
      <c r="J142" s="4"/>
      <c r="K142" s="4"/>
      <c r="L142" s="4"/>
      <c r="M142" s="4"/>
    </row>
    <row r="143" spans="7:13" x14ac:dyDescent="0.2">
      <c r="G143" s="4"/>
      <c r="H143" s="4"/>
      <c r="I143" s="4"/>
      <c r="J143" s="4"/>
      <c r="K143" s="4"/>
      <c r="L143" s="4"/>
      <c r="M143" s="4"/>
    </row>
    <row r="144" spans="7:13" x14ac:dyDescent="0.2">
      <c r="G144" s="4"/>
      <c r="H144" s="4"/>
      <c r="I144" s="4"/>
      <c r="J144" s="4"/>
      <c r="K144" s="4"/>
      <c r="L144" s="4"/>
      <c r="M144" s="4"/>
    </row>
    <row r="145" spans="6:13" x14ac:dyDescent="0.2">
      <c r="G145" s="4"/>
      <c r="H145" s="4"/>
      <c r="I145" s="4"/>
      <c r="J145" s="4"/>
      <c r="K145" s="4"/>
      <c r="L145" s="4"/>
      <c r="M145" s="4"/>
    </row>
    <row r="146" spans="6:13" x14ac:dyDescent="0.2">
      <c r="G146" s="4"/>
      <c r="H146" s="4"/>
      <c r="I146" s="4"/>
      <c r="J146" s="4"/>
      <c r="K146" s="4"/>
      <c r="L146" s="4"/>
      <c r="M146" s="4"/>
    </row>
    <row r="147" spans="6:13" x14ac:dyDescent="0.2">
      <c r="G147" s="4"/>
      <c r="H147" s="4"/>
      <c r="I147" s="4"/>
      <c r="J147" s="4"/>
      <c r="K147" s="4"/>
      <c r="L147" s="4"/>
      <c r="M147" s="4"/>
    </row>
    <row r="148" spans="6:13" x14ac:dyDescent="0.2">
      <c r="G148" s="4"/>
      <c r="H148" s="4"/>
      <c r="I148" s="4"/>
      <c r="J148" s="4"/>
      <c r="K148" s="4"/>
      <c r="L148" s="4"/>
      <c r="M148" s="4"/>
    </row>
    <row r="149" spans="6:13" x14ac:dyDescent="0.2">
      <c r="G149" s="4"/>
      <c r="H149" s="4"/>
      <c r="I149" s="4"/>
      <c r="J149" s="4"/>
      <c r="K149" s="4"/>
      <c r="L149" s="4"/>
      <c r="M149" s="4"/>
    </row>
    <row r="150" spans="6:13" x14ac:dyDescent="0.2">
      <c r="G150" s="4"/>
      <c r="H150" s="4"/>
      <c r="I150" s="4"/>
      <c r="J150" s="4"/>
      <c r="K150" s="4"/>
      <c r="L150" s="4"/>
      <c r="M150" s="4"/>
    </row>
    <row r="151" spans="6:13" x14ac:dyDescent="0.2">
      <c r="G151" s="4"/>
      <c r="H151" s="4"/>
      <c r="I151" s="4"/>
      <c r="J151" s="4"/>
      <c r="K151" s="4"/>
      <c r="L151" s="4"/>
      <c r="M151" s="4"/>
    </row>
    <row r="152" spans="6:13" x14ac:dyDescent="0.2">
      <c r="G152" s="4"/>
      <c r="H152" s="4"/>
      <c r="I152" s="4"/>
      <c r="J152" s="4"/>
      <c r="K152" s="4"/>
      <c r="L152" s="4"/>
      <c r="M152" s="4"/>
    </row>
    <row r="153" spans="6:13" ht="15.75" x14ac:dyDescent="0.25">
      <c r="F153" s="12" t="s">
        <v>125</v>
      </c>
      <c r="G153" s="4"/>
      <c r="H153" s="4"/>
      <c r="I153" s="4"/>
      <c r="J153" s="4"/>
      <c r="K153" s="4"/>
      <c r="L153" s="4"/>
      <c r="M153" s="4"/>
    </row>
  </sheetData>
  <sheetProtection sheet="1" objects="1" scenarios="1" formatCells="0" selectLockedCells="1"/>
  <phoneticPr fontId="1" type="noConversion"/>
  <printOptions gridLines="1"/>
  <pageMargins left="0.75" right="0.75" top="1" bottom="1" header="0.5" footer="0.5"/>
  <pageSetup orientation="portrait" horizontalDpi="4294967295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topLeftCell="A51" zoomScaleNormal="100" workbookViewId="0">
      <selection activeCell="C78" sqref="C78"/>
    </sheetView>
  </sheetViews>
  <sheetFormatPr defaultRowHeight="18" x14ac:dyDescent="0.25"/>
  <cols>
    <col min="1" max="1" width="4" style="85" customWidth="1"/>
    <col min="2" max="2" width="25.42578125" style="85" customWidth="1"/>
    <col min="3" max="3" width="20.7109375" style="85" customWidth="1"/>
    <col min="4" max="6" width="9.140625" style="85"/>
    <col min="7" max="7" width="7.42578125" style="85" customWidth="1"/>
    <col min="8" max="10" width="9.140625" style="85"/>
    <col min="11" max="11" width="28.85546875" style="85" customWidth="1"/>
    <col min="12" max="16384" width="9.140625" style="85"/>
  </cols>
  <sheetData>
    <row r="1" spans="1:19" x14ac:dyDescent="0.25">
      <c r="A1" s="83" t="s">
        <v>490</v>
      </c>
      <c r="G1" s="86"/>
      <c r="H1" s="86"/>
      <c r="I1" s="86"/>
      <c r="J1" s="86"/>
      <c r="K1" s="86"/>
      <c r="L1" s="86"/>
      <c r="M1" s="86"/>
    </row>
    <row r="2" spans="1:19" x14ac:dyDescent="0.25">
      <c r="A2" s="83"/>
      <c r="G2" s="86"/>
      <c r="H2" s="86"/>
      <c r="I2" s="86"/>
      <c r="J2" s="86"/>
      <c r="K2" s="86"/>
      <c r="L2" s="86"/>
      <c r="M2" s="86"/>
    </row>
    <row r="3" spans="1:19" x14ac:dyDescent="0.25">
      <c r="G3" s="86"/>
      <c r="H3" s="86"/>
      <c r="I3" s="86"/>
      <c r="J3" s="86"/>
      <c r="K3" s="86"/>
      <c r="L3" s="86"/>
      <c r="M3" s="86"/>
    </row>
    <row r="4" spans="1:19" x14ac:dyDescent="0.25">
      <c r="B4" s="2" t="s">
        <v>630</v>
      </c>
      <c r="C4" s="9"/>
      <c r="D4" s="115"/>
      <c r="E4" s="9"/>
      <c r="F4" s="9"/>
      <c r="G4" s="9"/>
      <c r="H4" s="9"/>
      <c r="I4" s="116"/>
      <c r="J4" s="116"/>
      <c r="K4" s="116"/>
      <c r="L4" s="116"/>
      <c r="M4" s="116"/>
      <c r="N4" s="116"/>
      <c r="O4" s="116"/>
      <c r="P4" s="116"/>
      <c r="Q4" s="116"/>
      <c r="R4" s="4"/>
      <c r="S4" s="4"/>
    </row>
    <row r="5" spans="1:19" x14ac:dyDescent="0.25">
      <c r="A5" s="70"/>
      <c r="B5" s="15" t="s">
        <v>631</v>
      </c>
      <c r="C5" s="9" t="s">
        <v>632</v>
      </c>
      <c r="D5" s="115"/>
      <c r="E5" s="9"/>
      <c r="F5" s="9"/>
      <c r="G5" s="9"/>
      <c r="H5" s="9"/>
      <c r="I5" s="116"/>
      <c r="J5" s="116"/>
      <c r="K5" s="116"/>
      <c r="L5" s="116"/>
      <c r="M5" s="116"/>
      <c r="N5" s="116"/>
      <c r="O5" s="116"/>
      <c r="P5" s="116"/>
      <c r="Q5" s="116"/>
      <c r="R5" s="4"/>
      <c r="S5" s="4"/>
    </row>
    <row r="6" spans="1:19" x14ac:dyDescent="0.25">
      <c r="A6" s="88"/>
      <c r="B6" s="15" t="s">
        <v>633</v>
      </c>
      <c r="C6" s="9" t="s">
        <v>634</v>
      </c>
      <c r="D6" s="9"/>
      <c r="E6" s="9"/>
      <c r="F6" s="9"/>
      <c r="G6" s="9"/>
      <c r="H6" s="9"/>
      <c r="I6" s="116"/>
      <c r="J6" s="116"/>
      <c r="K6" s="116"/>
      <c r="L6" s="116"/>
      <c r="M6" s="116"/>
      <c r="N6" s="116"/>
      <c r="O6" s="116"/>
      <c r="P6" s="116"/>
      <c r="Q6" s="116"/>
      <c r="R6" s="4"/>
      <c r="S6" s="4"/>
    </row>
    <row r="7" spans="1:19" x14ac:dyDescent="0.25">
      <c r="A7" s="88"/>
      <c r="B7" s="15" t="s">
        <v>635</v>
      </c>
      <c r="C7" s="9" t="s">
        <v>636</v>
      </c>
      <c r="D7" s="9"/>
      <c r="E7" s="9"/>
      <c r="F7" s="9"/>
      <c r="G7" s="9"/>
      <c r="H7" s="9"/>
      <c r="I7" s="116"/>
      <c r="J7" s="116"/>
      <c r="K7" s="116"/>
      <c r="L7" s="116"/>
      <c r="M7" s="116"/>
      <c r="N7" s="116"/>
      <c r="O7" s="116"/>
      <c r="P7" s="116"/>
      <c r="Q7" s="116"/>
      <c r="R7" s="4"/>
      <c r="S7" s="4"/>
    </row>
    <row r="8" spans="1:19" x14ac:dyDescent="0.25">
      <c r="B8" s="15" t="s">
        <v>637</v>
      </c>
      <c r="C8" s="9" t="s">
        <v>638</v>
      </c>
      <c r="D8" s="9"/>
      <c r="E8" s="9"/>
      <c r="F8" s="9"/>
      <c r="G8" s="9"/>
      <c r="H8" s="9"/>
      <c r="I8" s="116"/>
      <c r="J8" s="116"/>
      <c r="K8" s="116"/>
      <c r="L8" s="116"/>
      <c r="M8" s="116"/>
      <c r="N8" s="116"/>
      <c r="O8" s="116"/>
      <c r="P8" s="116"/>
      <c r="Q8" s="116"/>
      <c r="R8" s="4"/>
      <c r="S8" s="4"/>
    </row>
    <row r="9" spans="1:19" x14ac:dyDescent="0.25">
      <c r="A9" s="88"/>
      <c r="B9" s="2" t="s">
        <v>639</v>
      </c>
      <c r="C9" s="9"/>
      <c r="D9" s="9"/>
      <c r="E9" s="9" t="s">
        <v>640</v>
      </c>
      <c r="F9" s="54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4"/>
      <c r="S9" s="4"/>
    </row>
    <row r="10" spans="1:19" x14ac:dyDescent="0.25">
      <c r="B10" s="15" t="s">
        <v>641</v>
      </c>
      <c r="C10" s="9" t="s">
        <v>632</v>
      </c>
      <c r="D10" s="9"/>
      <c r="E10" s="117" t="s">
        <v>642</v>
      </c>
      <c r="F10" s="116"/>
      <c r="G10" s="116"/>
      <c r="H10" s="116"/>
      <c r="I10" s="117" t="s">
        <v>643</v>
      </c>
      <c r="J10" s="116"/>
      <c r="K10" s="116"/>
      <c r="L10" s="116"/>
      <c r="M10" s="116"/>
      <c r="N10" s="116"/>
      <c r="O10" s="116"/>
      <c r="P10" s="116"/>
      <c r="Q10" s="116"/>
      <c r="R10" s="4"/>
      <c r="S10" s="4"/>
    </row>
    <row r="11" spans="1:19" x14ac:dyDescent="0.25">
      <c r="A11" s="88"/>
      <c r="B11" s="15" t="s">
        <v>644</v>
      </c>
      <c r="C11" s="9" t="s">
        <v>634</v>
      </c>
      <c r="D11" s="9"/>
      <c r="E11" s="24"/>
      <c r="F11" s="118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4"/>
      <c r="S11" s="4"/>
    </row>
    <row r="12" spans="1:19" x14ac:dyDescent="0.25">
      <c r="B12" s="15" t="s">
        <v>645</v>
      </c>
      <c r="C12" s="9" t="s">
        <v>646</v>
      </c>
      <c r="D12" s="9"/>
      <c r="E12" s="119"/>
      <c r="F12" s="120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24"/>
      <c r="S12" s="4"/>
    </row>
    <row r="13" spans="1:19" x14ac:dyDescent="0.25">
      <c r="A13" s="88"/>
      <c r="B13" s="8" t="s">
        <v>647</v>
      </c>
      <c r="C13" s="9"/>
      <c r="D13" s="9"/>
      <c r="E13" s="24"/>
      <c r="F13" s="118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24"/>
      <c r="S13" s="4"/>
    </row>
    <row r="14" spans="1:19" x14ac:dyDescent="0.25">
      <c r="B14" s="9"/>
      <c r="C14" s="9"/>
      <c r="D14" s="9"/>
      <c r="E14" s="119"/>
      <c r="F14" s="121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24"/>
      <c r="S14" s="30"/>
    </row>
    <row r="15" spans="1:19" x14ac:dyDescent="0.25">
      <c r="A15" s="88"/>
      <c r="B15" s="9"/>
      <c r="C15" s="116"/>
      <c r="D15" s="9"/>
      <c r="E15" s="9"/>
      <c r="F15" s="9"/>
      <c r="G15" s="9"/>
      <c r="H15" s="9"/>
      <c r="I15" s="9"/>
      <c r="J15" s="116"/>
      <c r="K15" s="116"/>
      <c r="L15" s="116"/>
      <c r="M15" s="116"/>
      <c r="N15" s="116"/>
      <c r="O15" s="116"/>
      <c r="P15" s="116"/>
      <c r="Q15" s="116"/>
      <c r="R15" s="24"/>
      <c r="S15" s="122"/>
    </row>
    <row r="16" spans="1:19" x14ac:dyDescent="0.25">
      <c r="B16" s="9" t="s">
        <v>648</v>
      </c>
      <c r="C16" s="116"/>
      <c r="D16" s="9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24"/>
      <c r="S16" s="122"/>
    </row>
    <row r="17" spans="1:19" x14ac:dyDescent="0.25">
      <c r="B17" s="116"/>
      <c r="C17" s="116" t="s">
        <v>649</v>
      </c>
      <c r="D17" s="9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24"/>
      <c r="S17" s="30"/>
    </row>
    <row r="18" spans="1:19" x14ac:dyDescent="0.25">
      <c r="A18" s="110"/>
      <c r="B18" s="116"/>
      <c r="C18" s="116" t="s">
        <v>650</v>
      </c>
      <c r="D18" s="9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4"/>
      <c r="S18" s="58"/>
    </row>
    <row r="19" spans="1:19" x14ac:dyDescent="0.25">
      <c r="A19" s="112"/>
      <c r="B19" s="33"/>
      <c r="C19" s="116"/>
      <c r="D19" s="9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4"/>
      <c r="S19" s="123"/>
    </row>
    <row r="20" spans="1:19" x14ac:dyDescent="0.25">
      <c r="A20" s="112"/>
      <c r="B20" s="2"/>
      <c r="C20" s="116"/>
      <c r="D20" s="9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4"/>
      <c r="S20" s="4"/>
    </row>
    <row r="21" spans="1:19" x14ac:dyDescent="0.25">
      <c r="A21" s="112"/>
      <c r="B21" s="2"/>
      <c r="C21" s="116"/>
      <c r="D21" s="9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4"/>
      <c r="S21" s="4"/>
    </row>
    <row r="22" spans="1:19" x14ac:dyDescent="0.25">
      <c r="A22" s="112"/>
      <c r="B22" s="9"/>
      <c r="C22" s="116"/>
      <c r="D22" s="9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4"/>
      <c r="S22" s="4"/>
    </row>
    <row r="23" spans="1:19" x14ac:dyDescent="0.25">
      <c r="A23" s="112"/>
      <c r="B23" s="116"/>
      <c r="C23" s="116"/>
      <c r="D23" s="9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4"/>
      <c r="S23" s="4"/>
    </row>
    <row r="24" spans="1:19" x14ac:dyDescent="0.25">
      <c r="A24" s="112"/>
      <c r="B24" s="9"/>
      <c r="C24" s="9"/>
      <c r="D24" s="9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4"/>
      <c r="S24" s="4"/>
    </row>
    <row r="25" spans="1:19" x14ac:dyDescent="0.25">
      <c r="A25" s="112"/>
      <c r="B25" s="9"/>
      <c r="C25" s="9"/>
      <c r="D25" s="9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4"/>
      <c r="S25" s="4"/>
    </row>
    <row r="26" spans="1:19" x14ac:dyDescent="0.25">
      <c r="B26" s="9"/>
      <c r="C26" s="9"/>
      <c r="D26" s="9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4"/>
      <c r="S26" s="4"/>
    </row>
    <row r="27" spans="1:19" x14ac:dyDescent="0.25">
      <c r="A27" s="88"/>
      <c r="B27" s="9"/>
      <c r="C27" s="9"/>
      <c r="D27" s="9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4"/>
      <c r="S27" s="4"/>
    </row>
    <row r="28" spans="1:19" x14ac:dyDescent="0.25">
      <c r="B28" s="9"/>
      <c r="C28" s="9"/>
      <c r="D28" s="9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4"/>
      <c r="S28" s="4"/>
    </row>
    <row r="29" spans="1:19" x14ac:dyDescent="0.25">
      <c r="A29" s="88"/>
      <c r="B29" s="9"/>
      <c r="C29" s="9"/>
      <c r="D29" s="9"/>
      <c r="E29" s="116"/>
      <c r="F29" s="116"/>
      <c r="G29" s="116"/>
      <c r="H29" s="116"/>
      <c r="I29" s="124" t="s">
        <v>651</v>
      </c>
      <c r="J29" s="124" t="s">
        <v>652</v>
      </c>
      <c r="K29" s="116"/>
      <c r="L29" s="116"/>
      <c r="M29" s="116"/>
      <c r="N29" s="116"/>
      <c r="O29" s="116"/>
      <c r="P29" s="116"/>
      <c r="Q29" s="116"/>
      <c r="R29" s="4"/>
      <c r="S29" s="4"/>
    </row>
    <row r="30" spans="1:19" x14ac:dyDescent="0.25">
      <c r="B30" s="9"/>
      <c r="C30" s="9"/>
      <c r="D30" s="9"/>
      <c r="E30" s="116"/>
      <c r="F30" s="116"/>
      <c r="G30" s="116"/>
      <c r="H30" s="116"/>
      <c r="I30" s="116">
        <v>1</v>
      </c>
      <c r="J30" s="125">
        <v>10</v>
      </c>
      <c r="K30" s="116"/>
      <c r="L30" s="116"/>
      <c r="M30" s="116"/>
      <c r="N30" s="116"/>
      <c r="O30" s="116"/>
      <c r="P30" s="116"/>
      <c r="Q30" s="116"/>
      <c r="R30" s="4"/>
      <c r="S30" s="4"/>
    </row>
    <row r="31" spans="1:19" x14ac:dyDescent="0.25">
      <c r="B31" s="9"/>
      <c r="C31" s="9"/>
      <c r="D31" s="9"/>
      <c r="E31" s="116"/>
      <c r="F31" s="117" t="s">
        <v>653</v>
      </c>
      <c r="G31" s="116"/>
      <c r="H31" s="116"/>
      <c r="I31" s="116">
        <v>2</v>
      </c>
      <c r="J31" s="125">
        <v>6</v>
      </c>
      <c r="K31" s="116"/>
      <c r="L31" s="116"/>
      <c r="M31" s="116"/>
      <c r="N31" s="116"/>
      <c r="O31" s="116"/>
      <c r="P31" s="116"/>
      <c r="Q31" s="116"/>
      <c r="R31" s="1"/>
      <c r="S31" s="1"/>
    </row>
    <row r="32" spans="1:19" x14ac:dyDescent="0.25">
      <c r="A32" s="110"/>
      <c r="B32" s="33" t="s">
        <v>654</v>
      </c>
      <c r="C32" s="1"/>
      <c r="D32" s="1"/>
      <c r="E32" s="4"/>
      <c r="F32" s="126" t="s">
        <v>655</v>
      </c>
      <c r="G32" s="127">
        <v>10</v>
      </c>
      <c r="H32" s="116" t="s">
        <v>656</v>
      </c>
      <c r="I32" s="116">
        <v>3</v>
      </c>
      <c r="J32" s="117" t="s">
        <v>657</v>
      </c>
      <c r="K32" s="116"/>
      <c r="L32" s="116"/>
      <c r="M32" s="116"/>
      <c r="N32" s="116"/>
      <c r="O32" s="116"/>
      <c r="P32" s="116"/>
      <c r="Q32" s="116"/>
      <c r="R32" s="1"/>
      <c r="S32" s="1"/>
    </row>
    <row r="33" spans="1:19" ht="18.75" thickBot="1" x14ac:dyDescent="0.3">
      <c r="A33" s="112"/>
      <c r="B33" s="128"/>
      <c r="C33" s="20" t="s">
        <v>658</v>
      </c>
      <c r="D33" s="9"/>
      <c r="E33" s="4"/>
      <c r="F33" s="126" t="s">
        <v>659</v>
      </c>
      <c r="G33" s="127">
        <v>6</v>
      </c>
      <c r="H33" s="116" t="s">
        <v>660</v>
      </c>
      <c r="I33" s="116">
        <v>4</v>
      </c>
      <c r="J33" s="117" t="s">
        <v>650</v>
      </c>
      <c r="K33" s="116"/>
      <c r="L33" s="116"/>
      <c r="M33" s="116"/>
      <c r="N33" s="116"/>
      <c r="O33" s="116"/>
      <c r="P33" s="116"/>
      <c r="Q33" s="116"/>
      <c r="R33" s="1"/>
      <c r="S33" s="1"/>
    </row>
    <row r="34" spans="1:19" ht="18.75" thickBot="1" x14ac:dyDescent="0.3">
      <c r="A34" s="112"/>
      <c r="B34" s="15" t="s">
        <v>661</v>
      </c>
      <c r="C34" s="129">
        <v>10</v>
      </c>
      <c r="D34" s="33" t="s">
        <v>656</v>
      </c>
      <c r="E34" s="4"/>
      <c r="F34" s="130" t="s">
        <v>662</v>
      </c>
      <c r="G34" s="131" t="s">
        <v>663</v>
      </c>
      <c r="H34" s="9"/>
      <c r="I34" s="116">
        <v>5</v>
      </c>
      <c r="J34" s="117" t="s">
        <v>664</v>
      </c>
      <c r="K34" s="116"/>
      <c r="L34" s="116"/>
      <c r="M34" s="116"/>
      <c r="N34" s="116"/>
      <c r="O34" s="116"/>
      <c r="P34" s="116"/>
      <c r="Q34" s="116"/>
      <c r="R34" s="1"/>
      <c r="S34" s="1"/>
    </row>
    <row r="35" spans="1:19" ht="18.75" thickBot="1" x14ac:dyDescent="0.3">
      <c r="A35" s="112"/>
      <c r="B35" s="15" t="s">
        <v>665</v>
      </c>
      <c r="C35" s="132">
        <v>6</v>
      </c>
      <c r="D35" s="33" t="s">
        <v>656</v>
      </c>
      <c r="E35" s="116"/>
      <c r="F35" s="130" t="s">
        <v>626</v>
      </c>
      <c r="G35" s="133">
        <f>C35/C34</f>
        <v>0.6</v>
      </c>
      <c r="H35" s="9" t="s">
        <v>666</v>
      </c>
      <c r="I35" s="116">
        <v>6</v>
      </c>
      <c r="J35" s="117" t="s">
        <v>667</v>
      </c>
      <c r="K35" s="116"/>
      <c r="L35" s="116"/>
      <c r="M35" s="116"/>
      <c r="N35" s="116"/>
      <c r="O35" s="116"/>
      <c r="P35" s="116"/>
      <c r="Q35" s="116"/>
      <c r="R35" s="1"/>
      <c r="S35" s="1"/>
    </row>
    <row r="36" spans="1:19" x14ac:dyDescent="0.25">
      <c r="A36" s="112"/>
      <c r="B36" s="115"/>
      <c r="C36" s="20" t="s">
        <v>274</v>
      </c>
      <c r="D36" s="9"/>
      <c r="E36" s="116"/>
      <c r="F36" s="130" t="s">
        <v>668</v>
      </c>
      <c r="G36" s="131" t="s">
        <v>669</v>
      </c>
      <c r="H36" s="9"/>
      <c r="I36" s="116">
        <v>7</v>
      </c>
      <c r="J36" s="125">
        <v>2</v>
      </c>
      <c r="K36" s="116"/>
      <c r="L36" s="116"/>
      <c r="M36" s="116"/>
      <c r="N36" s="116"/>
      <c r="O36" s="116"/>
      <c r="P36" s="116"/>
      <c r="Q36" s="116"/>
      <c r="R36" s="1"/>
      <c r="S36" s="1"/>
    </row>
    <row r="37" spans="1:19" ht="18.75" thickBot="1" x14ac:dyDescent="0.3">
      <c r="A37" s="112"/>
      <c r="B37" s="15" t="s">
        <v>670</v>
      </c>
      <c r="C37" s="2" t="s">
        <v>671</v>
      </c>
      <c r="D37" s="33"/>
      <c r="E37" s="116"/>
      <c r="F37" s="115" t="s">
        <v>626</v>
      </c>
      <c r="G37" s="134">
        <f>ATAN(C35/C34)</f>
        <v>0.54041950027058416</v>
      </c>
      <c r="H37" s="9" t="s">
        <v>672</v>
      </c>
      <c r="I37" s="116">
        <v>8</v>
      </c>
      <c r="J37" s="117" t="s">
        <v>638</v>
      </c>
      <c r="K37" s="116"/>
      <c r="L37" s="116"/>
      <c r="M37" s="116"/>
      <c r="N37" s="116"/>
      <c r="O37" s="116"/>
      <c r="P37" s="116"/>
      <c r="Q37" s="116"/>
      <c r="R37" s="1"/>
      <c r="S37" s="1"/>
    </row>
    <row r="38" spans="1:19" ht="18.75" thickBot="1" x14ac:dyDescent="0.3">
      <c r="A38" s="112"/>
      <c r="B38" s="135" t="s">
        <v>626</v>
      </c>
      <c r="C38" s="136">
        <f>( C34^2 + C35^2 )^(1/2)</f>
        <v>11.661903789690601</v>
      </c>
      <c r="D38" s="33" t="s">
        <v>656</v>
      </c>
      <c r="E38" s="116"/>
      <c r="F38" s="130" t="s">
        <v>673</v>
      </c>
      <c r="G38" s="8" t="s">
        <v>674</v>
      </c>
      <c r="H38" s="128" t="s">
        <v>675</v>
      </c>
      <c r="I38" s="116">
        <v>9</v>
      </c>
      <c r="J38" s="127">
        <v>10</v>
      </c>
      <c r="K38" s="116"/>
      <c r="L38" s="116"/>
      <c r="M38" s="116"/>
      <c r="N38" s="116"/>
      <c r="O38" s="116"/>
      <c r="P38" s="116"/>
      <c r="Q38" s="116"/>
      <c r="R38" s="1"/>
      <c r="S38" s="1"/>
    </row>
    <row r="39" spans="1:19" ht="18.75" thickBot="1" x14ac:dyDescent="0.3">
      <c r="A39" s="112"/>
      <c r="B39" s="15" t="s">
        <v>676</v>
      </c>
      <c r="C39" s="33" t="s">
        <v>677</v>
      </c>
      <c r="D39" s="33"/>
      <c r="E39" s="116"/>
      <c r="F39" s="130" t="s">
        <v>668</v>
      </c>
      <c r="G39" s="137" t="s">
        <v>678</v>
      </c>
      <c r="H39" s="9"/>
      <c r="I39" s="116">
        <v>10</v>
      </c>
      <c r="J39" s="127">
        <v>6</v>
      </c>
      <c r="K39" s="116"/>
      <c r="L39" s="116"/>
      <c r="M39" s="116"/>
      <c r="N39" s="116"/>
      <c r="O39" s="116"/>
      <c r="P39" s="116"/>
      <c r="Q39" s="116"/>
      <c r="R39" s="1"/>
      <c r="S39" s="1"/>
    </row>
    <row r="40" spans="1:19" ht="18.75" thickBot="1" x14ac:dyDescent="0.3">
      <c r="A40" s="110"/>
      <c r="B40" s="15" t="s">
        <v>626</v>
      </c>
      <c r="C40" s="138">
        <f>57.3 * ATAN(C35 / C34)</f>
        <v>30.966037365504469</v>
      </c>
      <c r="D40" s="33" t="s">
        <v>679</v>
      </c>
      <c r="E40" s="116"/>
      <c r="F40" s="115" t="s">
        <v>626</v>
      </c>
      <c r="G40" s="137">
        <f>57.3*G37</f>
        <v>30.966037365504469</v>
      </c>
      <c r="H40" s="9" t="s">
        <v>675</v>
      </c>
      <c r="I40" s="116"/>
      <c r="J40" s="116"/>
      <c r="K40" s="116"/>
      <c r="L40" s="116"/>
      <c r="M40" s="116"/>
      <c r="N40" s="116"/>
      <c r="O40" s="116"/>
      <c r="P40" s="116"/>
      <c r="Q40" s="116"/>
      <c r="R40" s="1"/>
      <c r="S40" s="1"/>
    </row>
    <row r="41" spans="1:19" x14ac:dyDescent="0.25">
      <c r="A41" s="92"/>
      <c r="B41" s="9"/>
      <c r="C41" s="9"/>
      <c r="D41" s="9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"/>
      <c r="S41" s="1"/>
    </row>
    <row r="42" spans="1:19" x14ac:dyDescent="0.25">
      <c r="A42" s="92"/>
      <c r="B42" s="33" t="s">
        <v>680</v>
      </c>
      <c r="C42" s="9"/>
      <c r="D42" s="115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"/>
      <c r="S42" s="1"/>
    </row>
    <row r="43" spans="1:19" x14ac:dyDescent="0.25">
      <c r="A43" s="92"/>
      <c r="B43" s="131" t="s">
        <v>681</v>
      </c>
      <c r="C43" s="9"/>
      <c r="D43" s="115"/>
      <c r="E43" s="118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"/>
      <c r="S43" s="1"/>
    </row>
    <row r="44" spans="1:19" x14ac:dyDescent="0.25">
      <c r="A44" s="92"/>
      <c r="B44" s="131" t="s">
        <v>682</v>
      </c>
      <c r="C44" s="9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"/>
      <c r="S44" s="1"/>
    </row>
    <row r="45" spans="1:19" x14ac:dyDescent="0.25">
      <c r="A45" s="92"/>
      <c r="B45" s="131" t="s">
        <v>683</v>
      </c>
      <c r="C45" s="9"/>
      <c r="D45" s="115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"/>
      <c r="S45" s="1"/>
    </row>
    <row r="46" spans="1:19" x14ac:dyDescent="0.25">
      <c r="A46" s="92"/>
      <c r="B46" s="131" t="s">
        <v>684</v>
      </c>
      <c r="C46" s="9"/>
      <c r="D46" s="139"/>
      <c r="E46" s="116"/>
      <c r="F46" s="116"/>
      <c r="G46" s="126"/>
      <c r="H46" s="125"/>
      <c r="I46" s="116"/>
      <c r="J46" s="116"/>
      <c r="K46" s="116"/>
      <c r="L46" s="116"/>
      <c r="M46" s="116"/>
      <c r="N46" s="116"/>
      <c r="O46" s="116"/>
      <c r="P46" s="116"/>
      <c r="Q46" s="116"/>
      <c r="R46" s="1"/>
      <c r="S46" s="1"/>
    </row>
    <row r="47" spans="1:19" x14ac:dyDescent="0.25">
      <c r="A47" s="92"/>
      <c r="B47" s="9"/>
      <c r="C47" s="9"/>
      <c r="D47" s="9"/>
      <c r="E47" s="116"/>
      <c r="F47" s="116"/>
      <c r="G47" s="126"/>
      <c r="H47" s="125"/>
      <c r="I47" s="116"/>
      <c r="J47" s="116"/>
      <c r="K47" s="116"/>
      <c r="L47" s="116"/>
      <c r="M47" s="116"/>
      <c r="N47" s="116"/>
      <c r="O47" s="116"/>
      <c r="P47" s="116"/>
      <c r="Q47" s="116"/>
      <c r="R47" s="1"/>
      <c r="S47" s="1"/>
    </row>
    <row r="48" spans="1:19" x14ac:dyDescent="0.25">
      <c r="A48" s="92"/>
      <c r="B48" s="9"/>
      <c r="C48" s="9"/>
      <c r="D48" s="115"/>
      <c r="E48" s="140"/>
      <c r="F48" s="141"/>
      <c r="G48" s="117"/>
      <c r="H48" s="125"/>
      <c r="I48" s="116"/>
      <c r="J48" s="116"/>
      <c r="K48" s="116"/>
      <c r="L48" s="116"/>
      <c r="M48" s="116"/>
      <c r="N48" s="116"/>
      <c r="O48" s="116"/>
      <c r="P48" s="116"/>
      <c r="Q48" s="116"/>
      <c r="R48" s="1"/>
      <c r="S48" s="1"/>
    </row>
    <row r="49" spans="1:19" x14ac:dyDescent="0.25">
      <c r="A49" s="92"/>
      <c r="B49" s="9"/>
      <c r="C49" s="9"/>
      <c r="D49" s="9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"/>
      <c r="S49" s="1"/>
    </row>
    <row r="50" spans="1:19" x14ac:dyDescent="0.25">
      <c r="A50" s="87"/>
      <c r="B50" s="9"/>
      <c r="C50" s="9"/>
      <c r="D50" s="9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"/>
      <c r="S50" s="1"/>
    </row>
    <row r="51" spans="1:19" x14ac:dyDescent="0.25">
      <c r="B51" s="9"/>
      <c r="C51" s="9"/>
      <c r="D51" s="9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"/>
      <c r="S51" s="1"/>
    </row>
    <row r="52" spans="1:19" x14ac:dyDescent="0.25">
      <c r="A52" s="70"/>
      <c r="B52" s="9"/>
      <c r="C52" s="9"/>
      <c r="D52" s="9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"/>
      <c r="S52" s="1"/>
    </row>
    <row r="53" spans="1:19" x14ac:dyDescent="0.25">
      <c r="A53" s="110"/>
      <c r="B53" s="9"/>
      <c r="C53" s="9"/>
      <c r="D53" s="9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"/>
      <c r="S53" s="1"/>
    </row>
    <row r="54" spans="1:19" x14ac:dyDescent="0.25">
      <c r="A54" s="112"/>
      <c r="B54" s="9"/>
      <c r="C54" s="9"/>
      <c r="D54" s="9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"/>
      <c r="S54" s="1"/>
    </row>
    <row r="55" spans="1:19" x14ac:dyDescent="0.25">
      <c r="A55" s="112"/>
      <c r="B55" s="8" t="s">
        <v>685</v>
      </c>
      <c r="C55" s="9"/>
      <c r="D55" s="115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"/>
      <c r="S55" s="1"/>
    </row>
    <row r="56" spans="1:19" x14ac:dyDescent="0.25">
      <c r="A56" s="112"/>
      <c r="C56" s="9"/>
      <c r="D56" s="115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"/>
      <c r="S56" s="1"/>
    </row>
    <row r="57" spans="1:19" x14ac:dyDescent="0.25">
      <c r="A57" s="1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x14ac:dyDescent="0.25">
      <c r="A58" s="112"/>
      <c r="B58" s="1"/>
      <c r="C58" s="2" t="s">
        <v>1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12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x14ac:dyDescent="0.25">
      <c r="A60" s="112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x14ac:dyDescent="0.25">
      <c r="A61" s="110"/>
      <c r="B61" s="111"/>
      <c r="C61" s="7"/>
      <c r="D61" s="1"/>
      <c r="E61" s="1"/>
      <c r="F61" s="1"/>
      <c r="G61" s="1"/>
      <c r="H61" s="86"/>
      <c r="I61" s="86"/>
      <c r="J61" s="86"/>
      <c r="K61" s="86"/>
      <c r="L61" s="86"/>
      <c r="M61" s="86"/>
    </row>
    <row r="62" spans="1:19" x14ac:dyDescent="0.25">
      <c r="A62" s="113"/>
      <c r="B62" s="114"/>
      <c r="C62" s="7"/>
      <c r="D62" s="1"/>
      <c r="E62" s="12" t="s">
        <v>19</v>
      </c>
      <c r="F62" s="1"/>
      <c r="G62" s="1"/>
      <c r="H62" s="86"/>
      <c r="I62" s="86"/>
      <c r="J62" s="86"/>
      <c r="K62" s="86"/>
      <c r="L62" s="86"/>
      <c r="M62" s="86"/>
    </row>
    <row r="63" spans="1:19" ht="18.75" thickBot="1" x14ac:dyDescent="0.3">
      <c r="A63" s="113"/>
      <c r="B63" s="15"/>
      <c r="C63" s="20" t="s">
        <v>38</v>
      </c>
      <c r="D63" s="12" t="s">
        <v>13</v>
      </c>
      <c r="E63" s="12" t="s">
        <v>12</v>
      </c>
      <c r="F63" s="1"/>
      <c r="H63" s="86"/>
      <c r="I63" s="86"/>
      <c r="J63" s="86"/>
      <c r="K63" s="86"/>
      <c r="L63" s="86"/>
      <c r="M63" s="86"/>
    </row>
    <row r="64" spans="1:19" x14ac:dyDescent="0.25">
      <c r="A64" s="92"/>
      <c r="B64" s="7" t="s">
        <v>611</v>
      </c>
      <c r="C64" s="21">
        <v>120</v>
      </c>
      <c r="D64" s="13" t="s">
        <v>9</v>
      </c>
      <c r="E64" s="13" t="s">
        <v>27</v>
      </c>
      <c r="F64" s="1"/>
      <c r="H64" s="86"/>
      <c r="I64" s="86"/>
      <c r="J64" s="86"/>
      <c r="K64" s="86"/>
      <c r="L64" s="86"/>
      <c r="M64" s="86"/>
    </row>
    <row r="65" spans="1:13" x14ac:dyDescent="0.25">
      <c r="A65" s="92"/>
      <c r="B65" s="7" t="s">
        <v>612</v>
      </c>
      <c r="C65" s="36">
        <v>1.2E-5</v>
      </c>
      <c r="D65" s="13" t="s">
        <v>30</v>
      </c>
      <c r="E65" s="13" t="s">
        <v>491</v>
      </c>
      <c r="F65" s="1"/>
      <c r="H65" s="86"/>
      <c r="I65" s="86"/>
      <c r="J65" s="86"/>
      <c r="K65" s="86"/>
      <c r="L65" s="86"/>
      <c r="M65" s="86"/>
    </row>
    <row r="66" spans="1:13" ht="18.75" thickBot="1" x14ac:dyDescent="0.3">
      <c r="A66" s="92"/>
      <c r="B66" s="7" t="s">
        <v>613</v>
      </c>
      <c r="C66" s="22">
        <v>100</v>
      </c>
      <c r="D66" s="13" t="s">
        <v>10</v>
      </c>
      <c r="E66" s="13" t="s">
        <v>8</v>
      </c>
      <c r="F66" s="1"/>
      <c r="H66" s="86"/>
      <c r="I66" s="86"/>
      <c r="J66" s="86"/>
      <c r="K66" s="86"/>
      <c r="L66" s="86"/>
      <c r="M66" s="86"/>
    </row>
    <row r="67" spans="1:13" x14ac:dyDescent="0.25">
      <c r="A67" s="92"/>
      <c r="B67" s="7"/>
      <c r="C67" s="1"/>
      <c r="D67" s="1"/>
      <c r="E67" s="1"/>
      <c r="F67" s="1"/>
      <c r="H67" s="86"/>
      <c r="I67" s="86"/>
      <c r="J67" s="86"/>
      <c r="K67" s="86"/>
      <c r="L67" s="86"/>
      <c r="M67" s="86"/>
    </row>
    <row r="68" spans="1:13" x14ac:dyDescent="0.25">
      <c r="A68" s="92"/>
      <c r="B68" s="7" t="s">
        <v>238</v>
      </c>
      <c r="C68" s="1" t="s">
        <v>7</v>
      </c>
      <c r="D68" s="1"/>
      <c r="E68" s="1"/>
      <c r="F68" s="1"/>
      <c r="H68" s="86"/>
      <c r="I68" s="86"/>
      <c r="J68" s="86"/>
      <c r="K68" s="86"/>
      <c r="L68" s="86"/>
      <c r="M68" s="86"/>
    </row>
    <row r="69" spans="1:13" x14ac:dyDescent="0.25">
      <c r="A69" s="92"/>
      <c r="B69" s="7" t="s">
        <v>5</v>
      </c>
      <c r="C69" s="13">
        <v>2.3799999999999999E-5</v>
      </c>
      <c r="D69" s="1"/>
      <c r="E69" s="1"/>
      <c r="F69" s="1"/>
      <c r="H69" s="86"/>
      <c r="I69" s="86"/>
      <c r="J69" s="86"/>
      <c r="K69" s="86"/>
      <c r="L69" s="86"/>
      <c r="M69" s="86"/>
    </row>
    <row r="70" spans="1:13" x14ac:dyDescent="0.25">
      <c r="A70" s="92"/>
      <c r="B70" s="7" t="s">
        <v>4</v>
      </c>
      <c r="C70" s="13">
        <v>1.7499999999999998E-5</v>
      </c>
      <c r="D70" s="1"/>
      <c r="E70" s="1"/>
      <c r="F70" s="1"/>
      <c r="H70" s="86"/>
      <c r="I70" s="86"/>
      <c r="J70" s="86"/>
      <c r="K70" s="86"/>
      <c r="L70" s="86"/>
      <c r="M70" s="86"/>
    </row>
    <row r="71" spans="1:13" x14ac:dyDescent="0.25">
      <c r="B71" s="7" t="s">
        <v>3</v>
      </c>
      <c r="C71" s="13">
        <v>1.6500000000000001E-5</v>
      </c>
      <c r="D71" s="1"/>
      <c r="E71" s="1"/>
      <c r="F71" s="1"/>
      <c r="H71" s="86"/>
      <c r="I71" s="86"/>
      <c r="J71" s="86"/>
      <c r="K71" s="86"/>
      <c r="L71" s="86"/>
      <c r="M71" s="86"/>
    </row>
    <row r="72" spans="1:13" x14ac:dyDescent="0.25">
      <c r="A72" s="93"/>
      <c r="B72" s="7" t="s">
        <v>2</v>
      </c>
      <c r="C72" s="13">
        <v>1.2E-5</v>
      </c>
      <c r="D72" s="1"/>
      <c r="E72" s="1"/>
      <c r="F72" s="1"/>
      <c r="H72" s="86"/>
      <c r="I72" s="86"/>
      <c r="J72" s="86"/>
      <c r="K72" s="86"/>
      <c r="L72" s="86"/>
      <c r="M72" s="86"/>
    </row>
    <row r="73" spans="1:13" x14ac:dyDescent="0.25">
      <c r="B73" s="7" t="s">
        <v>76</v>
      </c>
      <c r="C73" s="13">
        <v>3.9999999999999998E-6</v>
      </c>
      <c r="D73" s="1"/>
      <c r="E73" s="1"/>
      <c r="F73" s="1"/>
      <c r="H73" s="86"/>
      <c r="I73" s="86"/>
      <c r="J73" s="86"/>
      <c r="K73" s="86"/>
      <c r="L73" s="86"/>
      <c r="M73" s="86"/>
    </row>
    <row r="74" spans="1:13" x14ac:dyDescent="0.25">
      <c r="B74" s="7"/>
      <c r="C74" s="1"/>
      <c r="D74" s="1"/>
      <c r="E74" s="1"/>
      <c r="F74" s="1"/>
      <c r="H74" s="86"/>
      <c r="I74" s="86"/>
      <c r="J74" s="86"/>
      <c r="K74" s="86"/>
      <c r="L74" s="86"/>
      <c r="M74" s="86"/>
    </row>
    <row r="75" spans="1:13" x14ac:dyDescent="0.25">
      <c r="B75" s="15"/>
      <c r="C75" s="20" t="s">
        <v>39</v>
      </c>
      <c r="D75" s="1"/>
      <c r="E75" s="1"/>
      <c r="F75" s="86"/>
      <c r="H75" s="86"/>
      <c r="I75" s="86"/>
      <c r="J75" s="86"/>
      <c r="K75" s="86"/>
      <c r="L75" s="86"/>
      <c r="M75" s="86"/>
    </row>
    <row r="76" spans="1:13" x14ac:dyDescent="0.25">
      <c r="B76" s="15" t="s">
        <v>237</v>
      </c>
      <c r="C76" s="12" t="s">
        <v>15</v>
      </c>
      <c r="D76" s="1"/>
      <c r="E76" s="1"/>
      <c r="F76" s="86"/>
      <c r="H76" s="86"/>
      <c r="I76" s="86"/>
      <c r="J76" s="86"/>
      <c r="K76" s="86"/>
      <c r="L76" s="86"/>
      <c r="M76" s="86"/>
    </row>
    <row r="77" spans="1:13" x14ac:dyDescent="0.25">
      <c r="A77" s="92"/>
      <c r="B77" s="15" t="s">
        <v>28</v>
      </c>
      <c r="C77" s="23">
        <f>C64*C65*C66</f>
        <v>0.14400000000000002</v>
      </c>
      <c r="D77" s="12" t="s">
        <v>492</v>
      </c>
      <c r="E77" s="1"/>
      <c r="F77" s="86"/>
      <c r="H77" s="86"/>
      <c r="I77" s="86"/>
      <c r="J77" s="86"/>
      <c r="K77" s="86"/>
      <c r="L77" s="86"/>
      <c r="M77" s="86"/>
    </row>
    <row r="78" spans="1:13" x14ac:dyDescent="0.25">
      <c r="A78" s="92"/>
      <c r="B78" s="70"/>
      <c r="C78" s="83"/>
      <c r="F78" s="86"/>
      <c r="H78" s="86"/>
      <c r="I78" s="86"/>
      <c r="J78" s="86"/>
      <c r="K78" s="86"/>
      <c r="L78" s="86"/>
      <c r="M78" s="86"/>
    </row>
    <row r="79" spans="1:13" x14ac:dyDescent="0.25">
      <c r="A79" s="92"/>
      <c r="B79" s="91"/>
      <c r="C79" s="70"/>
      <c r="D79" s="83"/>
      <c r="G79" s="86"/>
      <c r="H79" s="86"/>
      <c r="I79" s="86"/>
      <c r="J79" s="86"/>
      <c r="K79" s="86"/>
      <c r="L79" s="86"/>
      <c r="M79" s="86"/>
    </row>
    <row r="80" spans="1:13" x14ac:dyDescent="0.25">
      <c r="A80" s="92"/>
      <c r="B80" s="91"/>
      <c r="C80" s="70"/>
      <c r="D80" s="83"/>
      <c r="G80" s="86"/>
      <c r="H80" s="86"/>
      <c r="I80" s="86"/>
      <c r="J80" s="86"/>
      <c r="K80" s="86"/>
      <c r="L80" s="86"/>
      <c r="M80" s="86"/>
    </row>
    <row r="81" spans="1:13" x14ac:dyDescent="0.25">
      <c r="A81" s="92"/>
      <c r="B81" s="83"/>
      <c r="C81" s="70"/>
      <c r="D81" s="83"/>
      <c r="G81" s="86"/>
      <c r="H81" s="86"/>
      <c r="I81" s="86"/>
      <c r="J81" s="86"/>
      <c r="K81" s="86"/>
      <c r="L81" s="86"/>
      <c r="M81" s="86"/>
    </row>
    <row r="82" spans="1:13" x14ac:dyDescent="0.25">
      <c r="A82" s="92"/>
      <c r="B82" s="91"/>
      <c r="C82" s="70"/>
      <c r="D82" s="83"/>
      <c r="G82" s="86"/>
      <c r="H82" s="86"/>
      <c r="I82" s="86"/>
      <c r="J82" s="86"/>
      <c r="K82" s="86"/>
      <c r="L82" s="86"/>
      <c r="M82" s="86"/>
    </row>
    <row r="83" spans="1:13" x14ac:dyDescent="0.25">
      <c r="A83" s="92"/>
      <c r="B83" s="91"/>
      <c r="C83" s="70"/>
      <c r="D83" s="83"/>
      <c r="G83" s="86"/>
      <c r="H83" s="86"/>
      <c r="I83" s="86"/>
      <c r="J83" s="86"/>
      <c r="K83" s="86"/>
      <c r="L83" s="86"/>
      <c r="M83" s="86"/>
    </row>
    <row r="84" spans="1:13" x14ac:dyDescent="0.25">
      <c r="A84" s="92"/>
      <c r="B84" s="91"/>
      <c r="C84" s="70"/>
      <c r="D84" s="83"/>
      <c r="G84" s="86"/>
      <c r="H84" s="86"/>
      <c r="I84" s="86"/>
      <c r="J84" s="86"/>
      <c r="K84" s="86"/>
      <c r="L84" s="86"/>
      <c r="M84" s="86"/>
    </row>
    <row r="85" spans="1:13" x14ac:dyDescent="0.25">
      <c r="A85" s="92"/>
      <c r="B85" s="91"/>
      <c r="C85" s="91"/>
      <c r="D85" s="83"/>
      <c r="G85" s="86"/>
      <c r="H85" s="86"/>
      <c r="I85" s="86"/>
      <c r="J85" s="86"/>
      <c r="K85" s="86"/>
      <c r="L85" s="86"/>
      <c r="M85" s="86"/>
    </row>
    <row r="86" spans="1:13" x14ac:dyDescent="0.25">
      <c r="A86" s="92"/>
      <c r="B86" s="91"/>
      <c r="C86" s="91"/>
      <c r="D86" s="83"/>
      <c r="G86" s="86"/>
      <c r="H86" s="86"/>
      <c r="I86" s="86"/>
      <c r="J86" s="86"/>
      <c r="K86" s="86"/>
      <c r="L86" s="86"/>
      <c r="M86" s="86"/>
    </row>
    <row r="87" spans="1:13" x14ac:dyDescent="0.25">
      <c r="A87" s="92"/>
      <c r="B87" s="94"/>
      <c r="C87" s="91"/>
      <c r="D87" s="83"/>
      <c r="G87" s="86"/>
      <c r="H87" s="86"/>
      <c r="I87" s="86"/>
      <c r="J87" s="86"/>
      <c r="K87" s="86"/>
      <c r="L87" s="86"/>
      <c r="M87" s="86"/>
    </row>
    <row r="88" spans="1:13" x14ac:dyDescent="0.25">
      <c r="A88" s="92"/>
      <c r="B88" s="91"/>
      <c r="C88" s="91"/>
      <c r="D88" s="83"/>
      <c r="G88" s="86"/>
      <c r="H88" s="86"/>
      <c r="I88" s="86"/>
      <c r="J88" s="86"/>
      <c r="K88" s="86"/>
      <c r="L88" s="86"/>
      <c r="M88" s="86"/>
    </row>
    <row r="89" spans="1:13" x14ac:dyDescent="0.25">
      <c r="A89" s="92"/>
      <c r="B89" s="70"/>
      <c r="C89" s="83"/>
      <c r="D89" s="70"/>
      <c r="G89" s="86"/>
      <c r="H89" s="86"/>
      <c r="I89" s="86"/>
      <c r="J89" s="86"/>
      <c r="K89" s="86"/>
      <c r="L89" s="86"/>
      <c r="M89" s="86"/>
    </row>
    <row r="90" spans="1:13" x14ac:dyDescent="0.25">
      <c r="G90" s="86"/>
      <c r="H90" s="86"/>
      <c r="I90" s="86"/>
      <c r="J90" s="86"/>
      <c r="K90" s="86"/>
      <c r="L90" s="86"/>
      <c r="M90" s="86"/>
    </row>
    <row r="91" spans="1:13" x14ac:dyDescent="0.25">
      <c r="A91" s="87"/>
      <c r="F91" s="90"/>
      <c r="G91" s="86"/>
      <c r="H91" s="86"/>
      <c r="I91" s="86"/>
      <c r="J91" s="86"/>
      <c r="K91" s="86"/>
      <c r="L91" s="86"/>
      <c r="M91" s="86"/>
    </row>
    <row r="92" spans="1:13" x14ac:dyDescent="0.25">
      <c r="A92" s="70"/>
      <c r="B92" s="90"/>
      <c r="G92" s="86"/>
      <c r="H92" s="86"/>
      <c r="I92" s="86"/>
      <c r="J92" s="86"/>
      <c r="K92" s="86"/>
      <c r="L92" s="86"/>
      <c r="M92" s="86"/>
    </row>
    <row r="93" spans="1:13" x14ac:dyDescent="0.25">
      <c r="A93" s="88"/>
      <c r="G93" s="86"/>
      <c r="H93" s="86"/>
      <c r="I93" s="86"/>
      <c r="J93" s="86"/>
      <c r="K93" s="86"/>
      <c r="L93" s="86"/>
      <c r="M93" s="86"/>
    </row>
    <row r="94" spans="1:13" x14ac:dyDescent="0.25">
      <c r="A94" s="88"/>
      <c r="C94" s="90"/>
      <c r="G94" s="86"/>
      <c r="H94" s="86"/>
      <c r="I94" s="86"/>
      <c r="J94" s="86"/>
      <c r="K94" s="86"/>
      <c r="L94" s="86"/>
      <c r="M94" s="86"/>
    </row>
    <row r="95" spans="1:13" x14ac:dyDescent="0.25">
      <c r="B95" s="89"/>
      <c r="D95" s="87"/>
      <c r="E95" s="95"/>
      <c r="G95" s="86"/>
      <c r="H95" s="86"/>
      <c r="I95" s="86"/>
      <c r="J95" s="86"/>
      <c r="K95" s="86"/>
      <c r="L95" s="86"/>
      <c r="M95" s="86"/>
    </row>
    <row r="96" spans="1:13" x14ac:dyDescent="0.25">
      <c r="A96" s="87"/>
      <c r="B96" s="96"/>
      <c r="C96" s="90"/>
      <c r="G96" s="86"/>
      <c r="H96" s="86"/>
      <c r="I96" s="86"/>
      <c r="J96" s="86"/>
      <c r="K96" s="86"/>
      <c r="L96" s="86"/>
      <c r="M96" s="86"/>
    </row>
    <row r="97" spans="1:13" x14ac:dyDescent="0.25">
      <c r="A97" s="87"/>
      <c r="B97" s="96"/>
      <c r="C97" s="90"/>
      <c r="G97" s="86"/>
      <c r="H97" s="86"/>
      <c r="I97" s="86"/>
      <c r="J97" s="86"/>
      <c r="K97" s="86"/>
      <c r="L97" s="86"/>
      <c r="M97" s="86"/>
    </row>
    <row r="98" spans="1:13" x14ac:dyDescent="0.25">
      <c r="A98" s="87"/>
      <c r="B98" s="96"/>
      <c r="C98" s="90"/>
      <c r="G98" s="86"/>
      <c r="H98" s="86"/>
      <c r="I98" s="86"/>
      <c r="J98" s="86"/>
      <c r="K98" s="86"/>
      <c r="L98" s="86"/>
      <c r="M98" s="86"/>
    </row>
    <row r="99" spans="1:13" x14ac:dyDescent="0.25">
      <c r="A99" s="87"/>
      <c r="B99" s="96"/>
      <c r="C99" s="90"/>
      <c r="G99" s="86"/>
      <c r="H99" s="86"/>
      <c r="I99" s="86"/>
      <c r="J99" s="86"/>
      <c r="K99" s="86"/>
      <c r="L99" s="86"/>
      <c r="M99" s="86"/>
    </row>
    <row r="100" spans="1:13" x14ac:dyDescent="0.25">
      <c r="A100" s="87"/>
      <c r="B100" s="96"/>
      <c r="C100" s="90"/>
      <c r="G100" s="86"/>
      <c r="H100" s="86"/>
      <c r="I100" s="86"/>
      <c r="J100" s="86"/>
      <c r="K100" s="86"/>
      <c r="L100" s="86"/>
      <c r="M100" s="86"/>
    </row>
    <row r="101" spans="1:13" x14ac:dyDescent="0.25">
      <c r="A101" s="87"/>
      <c r="B101" s="96"/>
      <c r="C101" s="90"/>
      <c r="D101" s="90"/>
      <c r="E101" s="88"/>
      <c r="G101" s="86"/>
      <c r="H101" s="86"/>
      <c r="I101" s="86"/>
      <c r="J101" s="86"/>
      <c r="K101" s="86"/>
      <c r="L101" s="86"/>
      <c r="M101" s="86"/>
    </row>
    <row r="102" spans="1:13" x14ac:dyDescent="0.25">
      <c r="F102" s="91"/>
      <c r="G102" s="86"/>
      <c r="H102" s="86"/>
      <c r="I102" s="86"/>
      <c r="J102" s="86"/>
      <c r="K102" s="86"/>
      <c r="L102" s="86"/>
      <c r="M102" s="86"/>
    </row>
    <row r="103" spans="1:13" x14ac:dyDescent="0.25">
      <c r="B103" s="90"/>
      <c r="C103" s="90"/>
    </row>
    <row r="104" spans="1:13" x14ac:dyDescent="0.25">
      <c r="A104" s="87"/>
      <c r="B104" s="90"/>
      <c r="C104" s="90"/>
    </row>
    <row r="105" spans="1:13" x14ac:dyDescent="0.25">
      <c r="A105" s="70"/>
      <c r="B105" s="89"/>
    </row>
    <row r="106" spans="1:13" x14ac:dyDescent="0.25">
      <c r="A106" s="92"/>
      <c r="B106" s="97"/>
      <c r="C106" s="70"/>
    </row>
    <row r="107" spans="1:13" x14ac:dyDescent="0.25">
      <c r="A107" s="92"/>
      <c r="B107" s="91"/>
      <c r="C107" s="91"/>
    </row>
    <row r="108" spans="1:13" x14ac:dyDescent="0.25">
      <c r="A108" s="92"/>
      <c r="B108" s="91"/>
      <c r="C108" s="91"/>
    </row>
    <row r="109" spans="1:13" x14ac:dyDescent="0.25">
      <c r="A109" s="92"/>
      <c r="B109" s="91"/>
    </row>
    <row r="110" spans="1:13" x14ac:dyDescent="0.25">
      <c r="A110" s="92"/>
      <c r="B110" s="91"/>
      <c r="C110" s="91"/>
    </row>
    <row r="144" spans="1:1" x14ac:dyDescent="0.25">
      <c r="A144" s="70"/>
    </row>
    <row r="153" spans="6:6" x14ac:dyDescent="0.25">
      <c r="F153" s="91"/>
    </row>
  </sheetData>
  <sheetProtection selectLockedCells="1"/>
  <phoneticPr fontId="1" type="noConversion"/>
  <printOptions gridLines="1"/>
  <pageMargins left="0.75" right="0.75" top="1" bottom="1" header="0.5" footer="0.5"/>
  <pageSetup orientation="portrait" horizontalDpi="4294967295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CONDUCTION</vt:lpstr>
      <vt:lpstr>CONVECTION</vt:lpstr>
      <vt:lpstr>RADIATION</vt:lpstr>
      <vt:lpstr>MATH TOOLS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</dc:creator>
  <cp:lastModifiedBy>John Andrew</cp:lastModifiedBy>
  <cp:lastPrinted>2011-06-07T15:33:21Z</cp:lastPrinted>
  <dcterms:created xsi:type="dcterms:W3CDTF">2006-05-25T12:06:16Z</dcterms:created>
  <dcterms:modified xsi:type="dcterms:W3CDTF">2022-11-18T16:12:10Z</dcterms:modified>
</cp:coreProperties>
</file>