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11355" windowHeight="8325"/>
  </bookViews>
  <sheets>
    <sheet name="Definitions" sheetId="8" r:id="rId1"/>
    <sheet name="S-N Curve" sheetId="1" r:id="rId2"/>
    <sheet name="Notches" sheetId="12" r:id="rId3"/>
    <sheet name="Cantilever-1" sheetId="7" r:id="rId4"/>
    <sheet name="Cantilever-2" sheetId="2" r:id="rId5"/>
    <sheet name="Shafts" sheetId="4" r:id="rId6"/>
    <sheet name="Blank" sheetId="6" r:id="rId7"/>
  </sheets>
  <calcPr calcId="191029"/>
</workbook>
</file>

<file path=xl/calcChain.xml><?xml version="1.0" encoding="utf-8"?>
<calcChain xmlns="http://schemas.openxmlformats.org/spreadsheetml/2006/main">
  <c r="B17" i="12"/>
  <c r="B23"/>
  <c r="B19"/>
  <c r="B25"/>
  <c r="B33"/>
  <c r="C207" i="4"/>
  <c r="C212"/>
  <c r="L164"/>
  <c r="C164"/>
  <c r="L159"/>
  <c r="C159"/>
  <c r="L157"/>
  <c r="N149"/>
  <c r="E149"/>
  <c r="L142"/>
  <c r="L145"/>
  <c r="C142"/>
  <c r="C145"/>
  <c r="L141"/>
  <c r="L144"/>
  <c r="C141"/>
  <c r="C144"/>
  <c r="N138"/>
  <c r="E138"/>
  <c r="N137"/>
  <c r="E137"/>
  <c r="N130"/>
  <c r="E130"/>
  <c r="N129"/>
  <c r="E129"/>
  <c r="L112"/>
  <c r="L114"/>
  <c r="L105"/>
  <c r="L107"/>
  <c r="L117"/>
  <c r="L158"/>
  <c r="L163"/>
  <c r="C48"/>
  <c r="C45"/>
  <c r="C46"/>
  <c r="B113" i="7"/>
  <c r="B58"/>
  <c r="B128"/>
  <c r="B380" i="1"/>
  <c r="B394"/>
  <c r="B416"/>
  <c r="B363"/>
  <c r="B109" i="7"/>
  <c r="B93"/>
  <c r="B95"/>
  <c r="B97"/>
  <c r="B119"/>
  <c r="B89"/>
  <c r="B75"/>
  <c r="B140" i="12"/>
  <c r="B116"/>
  <c r="B66" i="7"/>
  <c r="B65"/>
  <c r="B79"/>
  <c r="B82"/>
  <c r="B126"/>
  <c r="B178" i="12"/>
  <c r="B174"/>
  <c r="B166"/>
  <c r="B176"/>
  <c r="B168"/>
  <c r="B109"/>
  <c r="B110"/>
  <c r="B60" i="7"/>
  <c r="B137" i="12"/>
  <c r="B143"/>
  <c r="B158"/>
  <c r="B65"/>
  <c r="B155"/>
  <c r="B72"/>
  <c r="B399" i="1"/>
  <c r="B397"/>
  <c r="B293"/>
  <c r="B287"/>
  <c r="B277"/>
  <c r="B260"/>
  <c r="B262"/>
  <c r="B253"/>
  <c r="B246"/>
  <c r="B239"/>
  <c r="B237"/>
  <c r="B112" i="8"/>
  <c r="B184"/>
  <c r="B15" i="12"/>
  <c r="B21"/>
  <c r="B203" i="8"/>
  <c r="B199"/>
  <c r="B211"/>
  <c r="B196"/>
  <c r="B190"/>
  <c r="B193"/>
  <c r="B252"/>
  <c r="B250"/>
  <c r="B231"/>
  <c r="B186"/>
  <c r="B175"/>
  <c r="B115"/>
  <c r="B119"/>
  <c r="B56" i="2"/>
  <c r="B71"/>
  <c r="B65"/>
  <c r="B191"/>
  <c r="B190"/>
  <c r="B193"/>
  <c r="B129"/>
  <c r="B131"/>
  <c r="B133"/>
  <c r="B149"/>
  <c r="B141"/>
  <c r="B125"/>
  <c r="B151"/>
  <c r="B100"/>
  <c r="B102"/>
  <c r="B86"/>
  <c r="B91"/>
  <c r="B67"/>
  <c r="B73"/>
  <c r="B58"/>
  <c r="E129"/>
  <c r="E128"/>
  <c r="B95"/>
  <c r="B85"/>
  <c r="B28"/>
  <c r="B60"/>
  <c r="B125" i="7"/>
  <c r="B56"/>
  <c r="B62"/>
  <c r="B85"/>
  <c r="E93"/>
  <c r="E92"/>
  <c r="B59" i="12"/>
  <c r="D40" i="8"/>
  <c r="D38"/>
  <c r="D36"/>
  <c r="D34"/>
  <c r="D32"/>
  <c r="D30"/>
  <c r="D28"/>
  <c r="D26"/>
  <c r="D24"/>
  <c r="B204" i="1"/>
  <c r="B159" i="12"/>
  <c r="B31"/>
  <c r="B35"/>
  <c r="B37"/>
  <c r="B123" i="7"/>
  <c r="B79" i="2"/>
  <c r="B109"/>
  <c r="B118"/>
  <c r="B185"/>
  <c r="B76"/>
  <c r="B106"/>
  <c r="B115"/>
  <c r="B419" i="1"/>
  <c r="B421"/>
  <c r="B428"/>
  <c r="B429"/>
  <c r="C157" i="4"/>
  <c r="C50"/>
  <c r="C52"/>
  <c r="C105"/>
  <c r="C107"/>
  <c r="C117"/>
  <c r="C158"/>
  <c r="C163"/>
  <c r="C112"/>
  <c r="C114"/>
</calcChain>
</file>

<file path=xl/sharedStrings.xml><?xml version="1.0" encoding="utf-8"?>
<sst xmlns="http://schemas.openxmlformats.org/spreadsheetml/2006/main" count="1410" uniqueCount="776">
  <si>
    <t>P1</t>
  </si>
  <si>
    <t>P2</t>
  </si>
  <si>
    <t>P3</t>
  </si>
  <si>
    <t>P4</t>
  </si>
  <si>
    <t>Corrected endurance limit,  Se =</t>
  </si>
  <si>
    <t>Se =</t>
  </si>
  <si>
    <t>Steels,  Se' =</t>
  </si>
  <si>
    <t>Irons,  Se' =</t>
  </si>
  <si>
    <t>Aluminums,  Se' =</t>
  </si>
  <si>
    <t>Copper Alloys,  Se' =</t>
  </si>
  <si>
    <t>Cload*Csize*Csurf*Ctemp*Creliab*Se'</t>
  </si>
  <si>
    <t>Bending,  Cload =</t>
  </si>
  <si>
    <t>Axial loading,  Cload =</t>
  </si>
  <si>
    <t>For 0.30 &lt; d &lt; 10 in.,  Csize =</t>
  </si>
  <si>
    <t>For d &lt; 0.3 in,  Csize =</t>
  </si>
  <si>
    <t>0.869 * d^ -0.097</t>
  </si>
  <si>
    <t>Ground</t>
  </si>
  <si>
    <t>Machined</t>
  </si>
  <si>
    <t>Cold Rolled</t>
  </si>
  <si>
    <t>Hot Rolled</t>
  </si>
  <si>
    <t>As Forged</t>
  </si>
  <si>
    <t>A</t>
  </si>
  <si>
    <t>b</t>
  </si>
  <si>
    <t>A(Sut)^ b</t>
  </si>
  <si>
    <t xml:space="preserve">If surface factor is greater than 1.00 </t>
  </si>
  <si>
    <t>set  Csurf = 1.00</t>
  </si>
  <si>
    <t>A =</t>
  </si>
  <si>
    <t>b =</t>
  </si>
  <si>
    <t>Csurf =</t>
  </si>
  <si>
    <t>Sut =</t>
  </si>
  <si>
    <t>in</t>
  </si>
  <si>
    <t>Csize =</t>
  </si>
  <si>
    <t>For T &lt;= 450 deg C,  Ctemp =</t>
  </si>
  <si>
    <t>For,  450 &lt;T&lt;550 deg C,  Ctemp =</t>
  </si>
  <si>
    <t>1-0.0058*(T-450)</t>
  </si>
  <si>
    <t>deg C</t>
  </si>
  <si>
    <t>1-0.0032*(T-840)</t>
  </si>
  <si>
    <t xml:space="preserve"> Ctemp =</t>
  </si>
  <si>
    <t>Reliability</t>
  </si>
  <si>
    <t>%</t>
  </si>
  <si>
    <t>Creliab</t>
  </si>
  <si>
    <t>Creliab =</t>
  </si>
  <si>
    <t>psi</t>
  </si>
  <si>
    <t>a * N^ b</t>
  </si>
  <si>
    <t>Log S(N) =</t>
  </si>
  <si>
    <t>Log a + b * Log N</t>
  </si>
  <si>
    <t>(1/Z) * Log (Sm/Se)</t>
  </si>
  <si>
    <t>Z =</t>
  </si>
  <si>
    <t>Log N1 - Log N2</t>
  </si>
  <si>
    <t>Log a =</t>
  </si>
  <si>
    <t>Log (Sm) - b * Log (N1)</t>
  </si>
  <si>
    <t>Log (Sm) - 3*b</t>
  </si>
  <si>
    <t>or,  Log a =</t>
  </si>
  <si>
    <t>Fatigue Testing of Metals</t>
  </si>
  <si>
    <t xml:space="preserve"> </t>
  </si>
  <si>
    <t>N2</t>
  </si>
  <si>
    <t>Z</t>
  </si>
  <si>
    <t>and, Log (1000) =</t>
  </si>
  <si>
    <t>N2 is given in the table on the right.</t>
  </si>
  <si>
    <t>Note, Number of cycles, N1 =</t>
  </si>
  <si>
    <t>.9 * Sut</t>
  </si>
  <si>
    <t>Bending,  Sm =</t>
  </si>
  <si>
    <t>Axial loading,  Sm =</t>
  </si>
  <si>
    <t>Pure Torsion,  Cload =</t>
  </si>
  <si>
    <t>Size of Circular Sections</t>
  </si>
  <si>
    <t>A95 =</t>
  </si>
  <si>
    <t>.75 * Sut</t>
  </si>
  <si>
    <t>Material endurance stress at 1000 cycles (Sm)</t>
  </si>
  <si>
    <t>0.4 * Sut     if Sut &lt; 48,000 psi</t>
  </si>
  <si>
    <t>0.4 * Sut      if Sut &lt; 40,000 psi</t>
  </si>
  <si>
    <t>0.5 * Sut     if Sut &lt; 200,000 psi</t>
  </si>
  <si>
    <t>0.4 * Sut     if Sut &lt; 60,000 psi</t>
  </si>
  <si>
    <t>Uncorrected fatigue endurance limits are given below:</t>
  </si>
  <si>
    <t xml:space="preserve">How many cycles of fully reversed bending stress of </t>
  </si>
  <si>
    <t>Se' =</t>
  </si>
  <si>
    <t>Ultimate static strength,  Sut =</t>
  </si>
  <si>
    <t>MPa</t>
  </si>
  <si>
    <t>Uncorrected endurance strength,Se' =</t>
  </si>
  <si>
    <t>Cload =</t>
  </si>
  <si>
    <t>1. The uncorrected endurance strength (Se' ) is calculated:</t>
  </si>
  <si>
    <t>mm</t>
  </si>
  <si>
    <t>Equivalent diameter,  Dequiv =</t>
  </si>
  <si>
    <t>(A95 / 0.0766)^0.5</t>
  </si>
  <si>
    <t>Dequiv =</t>
  </si>
  <si>
    <t>1.189*Dequiv^-0.097</t>
  </si>
  <si>
    <t>4. Surface factor (Csurf) for hot rolled finish:</t>
  </si>
  <si>
    <t>A * Sut^b</t>
  </si>
  <si>
    <t>5. Temperature factor (Ctemp)</t>
  </si>
  <si>
    <t>Ctemp =</t>
  </si>
  <si>
    <t>6. Reliability factor (Creliab)</t>
  </si>
  <si>
    <t>0.90 * Sut</t>
  </si>
  <si>
    <t>Sm =</t>
  </si>
  <si>
    <t>9. The Stress vs Cycles, S-N graph is made from the results above.</t>
  </si>
  <si>
    <t>Reliability =</t>
  </si>
  <si>
    <t>The reliability is assumed to be 99.9%</t>
  </si>
  <si>
    <t>-(1/3) * Log(Sm / Se)</t>
  </si>
  <si>
    <t>Log(a) =</t>
  </si>
  <si>
    <t>Log(Sm) - 3 * b</t>
  </si>
  <si>
    <t>a =</t>
  </si>
  <si>
    <t>10^ Log(a)</t>
  </si>
  <si>
    <t xml:space="preserve"> S(N) =</t>
  </si>
  <si>
    <t>The equation to the endurance stress line between P and Q is S(N)</t>
  </si>
  <si>
    <t>p333,  Endurance stress,  S(N) =</t>
  </si>
  <si>
    <t xml:space="preserve">Equation of S-N line between points P and Q is: </t>
  </si>
  <si>
    <t>the Sm to Se line at the endurance number of cycles (N)</t>
  </si>
  <si>
    <t>N =</t>
  </si>
  <si>
    <t>[ (S(N) / a ]^ (1/b)</t>
  </si>
  <si>
    <t>Number of cycles at the intersect, (N)</t>
  </si>
  <si>
    <t>Answer:  N =</t>
  </si>
  <si>
    <t>P5</t>
  </si>
  <si>
    <t>P6</t>
  </si>
  <si>
    <t>P7</t>
  </si>
  <si>
    <t>P8</t>
  </si>
  <si>
    <t>D/d</t>
  </si>
  <si>
    <t>Kt =</t>
  </si>
  <si>
    <t>A *(r / d)^b</t>
  </si>
  <si>
    <t>Notch radius,  r =</t>
  </si>
  <si>
    <t>Smaller diameter,  d =</t>
  </si>
  <si>
    <t>Larger diameter,  D =</t>
  </si>
  <si>
    <t>D/d =</t>
  </si>
  <si>
    <t>Answer:  Kt =</t>
  </si>
  <si>
    <t>Input Data</t>
  </si>
  <si>
    <t>was constructed from the calculated results below.</t>
  </si>
  <si>
    <t>The  Reversing bending stress vs Cycles (S-N) graph below</t>
  </si>
  <si>
    <t>Fatigue notch sensitivity factor,  q =</t>
  </si>
  <si>
    <t>(Kf - 1)/ (Kt - 1)</t>
  </si>
  <si>
    <t>or Fatigue notch sensitivity factor,  q =</t>
  </si>
  <si>
    <t>1 / (1 + a^0.5/ r^0.5)</t>
  </si>
  <si>
    <t>Neuber Constant</t>
  </si>
  <si>
    <t>r =</t>
  </si>
  <si>
    <t>Notch Radius</t>
  </si>
  <si>
    <t>a^0.5 =</t>
  </si>
  <si>
    <t>d =</t>
  </si>
  <si>
    <t>kpsi</t>
  </si>
  <si>
    <t>q =</t>
  </si>
  <si>
    <t>(a)^0.5</t>
  </si>
  <si>
    <t>Sut  (kpsi)</t>
  </si>
  <si>
    <t>Fatigue concentration factor,   (Kf) =</t>
  </si>
  <si>
    <t>1 + q * (Kt - 1)</t>
  </si>
  <si>
    <t>Answer:  (Kf) =</t>
  </si>
  <si>
    <t>Kf * σnom</t>
  </si>
  <si>
    <t>=</t>
  </si>
  <si>
    <t>m</t>
  </si>
  <si>
    <t>Watts</t>
  </si>
  <si>
    <t>rad/sec</t>
  </si>
  <si>
    <t>Multiply:</t>
  </si>
  <si>
    <t>in-lb/sec</t>
  </si>
  <si>
    <t xml:space="preserve">A steel bar has an ultimate tensile strength of 87000 psi, </t>
  </si>
  <si>
    <t>It has a 5.9 inch square section and a hot-rolled finish.</t>
  </si>
  <si>
    <t>14500 psi can be expected at 500 deg. C?</t>
  </si>
  <si>
    <t>Spread Sheet Method:</t>
  </si>
  <si>
    <t>1. Type in values for the input data.</t>
  </si>
  <si>
    <t>2. Enter.</t>
  </si>
  <si>
    <t>When using Excel's Goal Seek, unprotect the spread sheet by selecting:</t>
  </si>
  <si>
    <t xml:space="preserve">Drop down menu: Tools &gt; Protection &gt; Unprotect Sheet &gt; OK </t>
  </si>
  <si>
    <t>When Excel's Goal Seek is not needed, restore protection with:</t>
  </si>
  <si>
    <t xml:space="preserve">Drop down menu: Tools &gt; Protection &gt; Protect Sheet &gt; OK </t>
  </si>
  <si>
    <t>Material</t>
  </si>
  <si>
    <t>Brass</t>
  </si>
  <si>
    <t>Bronze</t>
  </si>
  <si>
    <t>Cast Iron</t>
  </si>
  <si>
    <t>Duralumin</t>
  </si>
  <si>
    <t>Monel Metal</t>
  </si>
  <si>
    <t>Mild Steel</t>
  </si>
  <si>
    <t>Nickel-Chrome Steel</t>
  </si>
  <si>
    <t>and rigidity required to transmit an applied torque.</t>
  </si>
  <si>
    <t>are usually calculated on the basis of the maximum shear theory.</t>
  </si>
  <si>
    <t>Stress,  psi *</t>
  </si>
  <si>
    <t>Force lb *</t>
  </si>
  <si>
    <t>Length,  in *</t>
  </si>
  <si>
    <t>Horse Power,  hp *</t>
  </si>
  <si>
    <t>Revolutions per Minute, rpm *</t>
  </si>
  <si>
    <t>Rotation,  deg *</t>
  </si>
  <si>
    <t>by</t>
  </si>
  <si>
    <t>Obtain</t>
  </si>
  <si>
    <t>N</t>
  </si>
  <si>
    <t>W</t>
  </si>
  <si>
    <t>rad</t>
  </si>
  <si>
    <t>2. These loads may be applied gradually, suddenly, or repeatedly.</t>
  </si>
  <si>
    <t>3.  A static stress analysis leads to a dynamic stress evaluation.</t>
  </si>
  <si>
    <t>Pascals</t>
  </si>
  <si>
    <t>Million Pa</t>
  </si>
  <si>
    <t>Millimeter</t>
  </si>
  <si>
    <t>Meter</t>
  </si>
  <si>
    <t>radians/sec</t>
  </si>
  <si>
    <t>radians</t>
  </si>
  <si>
    <t>Strain, ε = Extension / Original length = (L – Lo) / Lo = ΔL / Lo (no units)</t>
  </si>
  <si>
    <t>Modulus of elasticity, E = Stress / Strain = σ / ε (psi or Pa)</t>
  </si>
  <si>
    <t>Shear stress, τ = Shear Load / Area = V / A (psi or Pa)</t>
  </si>
  <si>
    <t>Shear strain, θ = Twist angle measured in radians</t>
  </si>
  <si>
    <t>J = Polar moment of inertia (in^4)</t>
  </si>
  <si>
    <t>Shear modulus, G = Shear Stress / Shear Strain = τ / θ  (psi or Pa)</t>
  </si>
  <si>
    <t>Modulus of rigidity, G = τ * Lo / (r * θ)  (psi or Pa)</t>
  </si>
  <si>
    <t xml:space="preserve">                           Or   G = E / 2(1 + ν) (psi or Pa)</t>
  </si>
  <si>
    <t>Shear yield stress, Sus = 0.75 * Tensile ultimate stress</t>
  </si>
  <si>
    <t>Cantilever Beam</t>
  </si>
  <si>
    <r>
      <t xml:space="preserve">3. </t>
    </r>
    <r>
      <rPr>
        <b/>
        <sz val="12"/>
        <color indexed="10"/>
        <rFont val="Arial"/>
        <family val="2"/>
      </rPr>
      <t>Answer:  X = will be calculated.</t>
    </r>
  </si>
  <si>
    <r>
      <t xml:space="preserve">4. Automatic calculations are </t>
    </r>
    <r>
      <rPr>
        <b/>
        <sz val="12"/>
        <color indexed="10"/>
        <rFont val="Arial"/>
        <family val="2"/>
      </rPr>
      <t>bold type</t>
    </r>
    <r>
      <rPr>
        <sz val="12"/>
        <color indexed="10"/>
        <rFont val="Arial"/>
        <family val="2"/>
      </rPr>
      <t>.</t>
    </r>
  </si>
  <si>
    <t>Shear area shape factor,  (K)</t>
  </si>
  <si>
    <t>K</t>
  </si>
  <si>
    <t>Area</t>
  </si>
  <si>
    <t>Hollow cylinder</t>
  </si>
  <si>
    <t>Rectangle</t>
  </si>
  <si>
    <t>Solid Circle</t>
  </si>
  <si>
    <t xml:space="preserve">The cantilever end load (F) and torque (T) are balanced by </t>
  </si>
  <si>
    <t>Example:</t>
  </si>
  <si>
    <t xml:space="preserve">Principal Stresses </t>
  </si>
  <si>
    <t>Calculate the principal stresses and the maximum shear stress.</t>
  </si>
  <si>
    <t>Principal stress (1)    σ1 =</t>
  </si>
  <si>
    <t>Max shear stress,  τmax =</t>
  </si>
  <si>
    <t xml:space="preserve"> (σ1 - σ3)/ 2</t>
  </si>
  <si>
    <t>σy =</t>
  </si>
  <si>
    <t>σ1 =</t>
  </si>
  <si>
    <t>τmax =</t>
  </si>
  <si>
    <t>σ2 =</t>
  </si>
  <si>
    <r>
      <t>to a bending stress Sigma, (</t>
    </r>
    <r>
      <rPr>
        <sz val="12"/>
        <rFont val="Arial"/>
        <family val="2"/>
      </rPr>
      <t xml:space="preserve">σx) and torsional shear stress Tau, (τxy). </t>
    </r>
  </si>
  <si>
    <t xml:space="preserve">The maximum stress due to these two stresses are the principal stresses,  </t>
  </si>
  <si>
    <t xml:space="preserve">There is zero shear stress on the principal planes.  </t>
  </si>
  <si>
    <t>1. Components are designed to withstand: direct forces, moments and torsion.</t>
  </si>
  <si>
    <t>Strength and Fatigue Failure Theories</t>
  </si>
  <si>
    <t>Ductile materials stretch 5% or more before breaking at their shear strengths.</t>
  </si>
  <si>
    <t>Brittle materials stretch less than 5% and break at their tensile strengths.</t>
  </si>
  <si>
    <t xml:space="preserve"> same distortion energy as is created by the actual combination of applied forces.</t>
  </si>
  <si>
    <t xml:space="preserve">stress in a part exceeds the shear stress in a tensile specimen at yield. </t>
  </si>
  <si>
    <t>One half of the tensile yield:</t>
  </si>
  <si>
    <t>Sys =</t>
  </si>
  <si>
    <t>0.50 * Sy</t>
  </si>
  <si>
    <t xml:space="preserve">[ ( σx^2 + σy^2 – σx*σy + 3*τxy^2 ]^0.5 </t>
  </si>
  <si>
    <t>The von Mises' effective stress is the uni-axial tensile stress that would create the</t>
  </si>
  <si>
    <t>of tensions and shears.</t>
  </si>
  <si>
    <t>von Mises' effective stress,  σ’ =</t>
  </si>
  <si>
    <t xml:space="preserve">The distortion energy stress (σ’) is the direct stress equivalent to any combination </t>
  </si>
  <si>
    <t>Material yield safety factor,  N =</t>
  </si>
  <si>
    <t>Max shear stress, Tau ( τmax) is on the plane 45 degrees to the principal planes.</t>
  </si>
  <si>
    <t xml:space="preserve">stresses and they act on principal planes at 90 degrees to each other.  </t>
  </si>
  <si>
    <t>σ =</t>
  </si>
  <si>
    <t>x =</t>
  </si>
  <si>
    <t>L =</t>
  </si>
  <si>
    <t>F =</t>
  </si>
  <si>
    <t>Force</t>
  </si>
  <si>
    <t>Length</t>
  </si>
  <si>
    <t>2. Applied bending stress, Sigma, σ = M * c / I = Load / Area  (psi or Pa)</t>
  </si>
  <si>
    <t>3. Tensile stress strength, S = Tested breaking load / Area  (psi or Pa)</t>
  </si>
  <si>
    <t>4. Strain,  e = Extension / Original length = x / L  (number)</t>
  </si>
  <si>
    <t>5. Modulus of elasticity, E = Stress / Strain = σ / ε  (psi or Pa)</t>
  </si>
  <si>
    <t>6. Shear modulus, G = Shear Stress / Shear Strain = τ / θ  (psi or Pa)</t>
  </si>
  <si>
    <t>8.Torsion shear stress,  Sus = T * r / J  (psi or Pa)</t>
  </si>
  <si>
    <t>10. Direct shear stress, Tau,  τ = Shear Load / Area = V / A  (psi or Pa)</t>
  </si>
  <si>
    <t>7. Shear strain, Theta,  θ = Twist angle measured in radians  (rad)</t>
  </si>
  <si>
    <t>1. Applied tensile stress, Sigma, σ = F / A = Force / Area  (psi or Pa)</t>
  </si>
  <si>
    <r>
      <t xml:space="preserve">4. Stress is Force per unit Area,  </t>
    </r>
    <r>
      <rPr>
        <b/>
        <sz val="12"/>
        <rFont val="Arial"/>
        <family val="2"/>
      </rPr>
      <t>σ</t>
    </r>
    <r>
      <rPr>
        <b/>
        <sz val="12"/>
        <rFont val="Arial"/>
        <family val="2"/>
      </rPr>
      <t xml:space="preserve"> = F / A   (psi or Pa)</t>
    </r>
  </si>
  <si>
    <t>5. Strain is extension divided by original Length,  e = x / L   (number)</t>
  </si>
  <si>
    <t>6. Strength is the Stress of a tested material at failure,  S = Fmax / A  (psi or Pa)</t>
  </si>
  <si>
    <t>e =</t>
  </si>
  <si>
    <t>Strain</t>
  </si>
  <si>
    <r>
      <t xml:space="preserve">(σx </t>
    </r>
    <r>
      <rPr>
        <b/>
        <vertAlign val="subscript"/>
        <sz val="12"/>
        <rFont val="Arial"/>
        <family val="2"/>
      </rPr>
      <t xml:space="preserve"> + </t>
    </r>
    <r>
      <rPr>
        <b/>
        <sz val="12"/>
        <rFont val="Arial"/>
        <family val="2"/>
      </rPr>
      <t xml:space="preserve">σy)/ 2 + {[(σx </t>
    </r>
    <r>
      <rPr>
        <b/>
        <vertAlign val="subscript"/>
        <sz val="12"/>
        <rFont val="Arial"/>
        <family val="2"/>
      </rPr>
      <t xml:space="preserve"> - </t>
    </r>
    <r>
      <rPr>
        <b/>
        <sz val="12"/>
        <rFont val="Arial"/>
        <family val="2"/>
      </rPr>
      <t>σy)/ 2]^2 + τ^2}^0.5</t>
    </r>
  </si>
  <si>
    <r>
      <t xml:space="preserve"> (σx </t>
    </r>
    <r>
      <rPr>
        <b/>
        <vertAlign val="subscript"/>
        <sz val="12"/>
        <rFont val="Arial"/>
        <family val="2"/>
      </rPr>
      <t xml:space="preserve"> + </t>
    </r>
    <r>
      <rPr>
        <b/>
        <sz val="12"/>
        <rFont val="Arial"/>
        <family val="2"/>
      </rPr>
      <t xml:space="preserve">σy)/ 2 - {[(σx </t>
    </r>
    <r>
      <rPr>
        <b/>
        <vertAlign val="subscript"/>
        <sz val="12"/>
        <rFont val="Arial"/>
        <family val="2"/>
      </rPr>
      <t xml:space="preserve"> - </t>
    </r>
    <r>
      <rPr>
        <b/>
        <sz val="12"/>
        <rFont val="Arial"/>
        <family val="2"/>
      </rPr>
      <t>σy)/ 2]^2 + τ^2}^0.5</t>
    </r>
  </si>
  <si>
    <t xml:space="preserve">The tensile stress at point (A) in the beam above is 5,000 psi due to </t>
  </si>
  <si>
    <t xml:space="preserve">bending and the shear stress is 2,000 psi due to the transverse load (F). </t>
  </si>
  <si>
    <t>Material shear yield stress,  Sys =</t>
  </si>
  <si>
    <t>Material tension yield stress</t>
  </si>
  <si>
    <t>Extension</t>
  </si>
  <si>
    <t>Newton's</t>
  </si>
  <si>
    <t>9. Bending shear stress, Tau,  τ = K * Shear Load / Area = V / A  (psi or Pa)</t>
  </si>
  <si>
    <t>Material ultimate tensile strength, Sut =</t>
  </si>
  <si>
    <t>Assumed percent reliability,  % =</t>
  </si>
  <si>
    <t>Reliability Factor</t>
  </si>
  <si>
    <t>Temperature Factor</t>
  </si>
  <si>
    <t>Load Factor</t>
  </si>
  <si>
    <t>in^2</t>
  </si>
  <si>
    <t xml:space="preserve">The stress element (A) at the top surface of the beam above, is subjected </t>
  </si>
  <si>
    <t>at the fatigue failure point on the above graph.</t>
  </si>
  <si>
    <t xml:space="preserve">Cantilever Bracket for Fully Reversed Bending </t>
  </si>
  <si>
    <t>Fatigue Safety Factor Design</t>
  </si>
  <si>
    <t>Problem:</t>
  </si>
  <si>
    <t>lbf</t>
  </si>
  <si>
    <t>Assumptions:</t>
  </si>
  <si>
    <t>E =</t>
  </si>
  <si>
    <t>Max moment is at fixed end,  M =</t>
  </si>
  <si>
    <t>F*a</t>
  </si>
  <si>
    <t>M =</t>
  </si>
  <si>
    <t>in-lbf</t>
  </si>
  <si>
    <t>I =</t>
  </si>
  <si>
    <t>b*d^3/ 12</t>
  </si>
  <si>
    <t>in^4</t>
  </si>
  <si>
    <t>c =</t>
  </si>
  <si>
    <t>d / 2</t>
  </si>
  <si>
    <t>Sigma nom =</t>
  </si>
  <si>
    <t>M*c / i</t>
  </si>
  <si>
    <t>8. Static stress concentration factor.</t>
  </si>
  <si>
    <t>A*(r / d)^b</t>
  </si>
  <si>
    <t>D/a =</t>
  </si>
  <si>
    <t>r/d =</t>
  </si>
  <si>
    <t>1 / (1 + a^0.5 / r^0.5)</t>
  </si>
  <si>
    <t>from above</t>
  </si>
  <si>
    <t>10.  Fatigue stress concentration factor Kf.</t>
  </si>
  <si>
    <t>Kf =</t>
  </si>
  <si>
    <t>1 + q*(Kt - 1)</t>
  </si>
  <si>
    <t>Applied alternating stress,  Sigma a =</t>
  </si>
  <si>
    <t>Kf*Sigma nom</t>
  </si>
  <si>
    <t>11.  Uncorrected endurance limit stress.</t>
  </si>
  <si>
    <t>For steel,  Se' =</t>
  </si>
  <si>
    <t>0.5*Sut</t>
  </si>
  <si>
    <t>Equivalent diameter,  dequiv =</t>
  </si>
  <si>
    <t>from above:</t>
  </si>
  <si>
    <t>0.05*d*b</t>
  </si>
  <si>
    <t>dequiv =</t>
  </si>
  <si>
    <t>Equation 6.7d,  p327, Csize =</t>
  </si>
  <si>
    <t>.869*(dequiv)^-.097</t>
  </si>
  <si>
    <t>Note:</t>
  </si>
  <si>
    <t>A*(Sut)^b</t>
  </si>
  <si>
    <t>Corrected endurance limit stress,  Se = Sn.</t>
  </si>
  <si>
    <t>Sn =</t>
  </si>
  <si>
    <t>13.  Fatigue load cycle safety factor.</t>
  </si>
  <si>
    <t>Nf =</t>
  </si>
  <si>
    <t>Sn / Sigma a</t>
  </si>
  <si>
    <t>Answer:  Nf =</t>
  </si>
  <si>
    <t>x = L =</t>
  </si>
  <si>
    <t>Deflection at load,  y =</t>
  </si>
  <si>
    <t>(F / (6*E*I))*(x^3 - 3*a*x^2 - (x - a)^3))</t>
  </si>
  <si>
    <t>y =</t>
  </si>
  <si>
    <t>Fully reversed load,  F =</t>
  </si>
  <si>
    <t>The machine bracket, shown above, is subjected to a</t>
  </si>
  <si>
    <t>Okay</t>
  </si>
  <si>
    <t>Maximum moment,  Mmax =</t>
  </si>
  <si>
    <t>Mean moment,  Mav =</t>
  </si>
  <si>
    <t>Minimum moment,  Mmin =</t>
  </si>
  <si>
    <t>5.00 * Fmax</t>
  </si>
  <si>
    <t>5.00 * Fav</t>
  </si>
  <si>
    <t>5.00 * Fmin</t>
  </si>
  <si>
    <t>Mmax*c / I</t>
  </si>
  <si>
    <t>Mmin*c / I</t>
  </si>
  <si>
    <t>σmin =</t>
  </si>
  <si>
    <t>Beam section properties:</t>
  </si>
  <si>
    <t>Three bending stresses, Sigma,   (σ):</t>
  </si>
  <si>
    <t>See "Notches" tab.</t>
  </si>
  <si>
    <t>Three moments at fixed end,  (M):</t>
  </si>
  <si>
    <t>Maximum force,  Fmax =</t>
  </si>
  <si>
    <t>Mean force,  Fav =</t>
  </si>
  <si>
    <t>Minimum force,  Fmin =</t>
  </si>
  <si>
    <t>Design the bracket below for a fully reversing load F = +/-500 lb for 10^9 cycles with no failure.</t>
  </si>
  <si>
    <t>The machine partt, shown above, is subjected to a fully reversed</t>
  </si>
  <si>
    <t>(Fmax + Fmin)/ 2</t>
  </si>
  <si>
    <t>Fav =</t>
  </si>
  <si>
    <t>Bracket breadth,  b =</t>
  </si>
  <si>
    <t>depth,  d =</t>
  </si>
  <si>
    <t>Beam root depth,  D =</t>
  </si>
  <si>
    <t>Fillet radius,  r =</t>
  </si>
  <si>
    <t>Force distance from wall,  a =</t>
  </si>
  <si>
    <t>Beam span,  L =</t>
  </si>
  <si>
    <t>Beam section dimensions, trial guesses:</t>
  </si>
  <si>
    <t>Material ult stress, SAE 1040,  Sut =</t>
  </si>
  <si>
    <t>Second moment of area,  I =</t>
  </si>
  <si>
    <t>Max beam surface to , c =</t>
  </si>
  <si>
    <t>neutral axis distance, c =</t>
  </si>
  <si>
    <t>See stress graph above.</t>
  </si>
  <si>
    <t>Fatigue stress concentration factor, Kf.</t>
  </si>
  <si>
    <t xml:space="preserve"> Notch sensitivity, q.</t>
  </si>
  <si>
    <t>Tensile strength from above,   Sut =</t>
  </si>
  <si>
    <t xml:space="preserve"> (σmax + σmin)/ 2</t>
  </si>
  <si>
    <t xml:space="preserve"> (σmax - σmin)/ 2</t>
  </si>
  <si>
    <t>Applied stresses due to moment and notch stress concentration:</t>
  </si>
  <si>
    <t>Nominal mean stress,  σnom-av =</t>
  </si>
  <si>
    <t xml:space="preserve"> σnom-av =</t>
  </si>
  <si>
    <t>Nominal alternating stress,  σnom-alt =</t>
  </si>
  <si>
    <t>σnom-alt =</t>
  </si>
  <si>
    <t>Factors (A) &amp; (b) from, "Notches" tab:</t>
  </si>
  <si>
    <t>Static stress concentration factor, Kt =</t>
  </si>
  <si>
    <t xml:space="preserve">  σav =</t>
  </si>
  <si>
    <t xml:space="preserve">  Factored mean stress,  σav =</t>
  </si>
  <si>
    <t xml:space="preserve">  Factored alternating stress,  σalt =</t>
  </si>
  <si>
    <t xml:space="preserve">  σalt =</t>
  </si>
  <si>
    <t>Kf * σnom-av</t>
  </si>
  <si>
    <t>Kf * σnom-alt</t>
  </si>
  <si>
    <t>direct stress equivalent to any combination of tensions and shears.</t>
  </si>
  <si>
    <t xml:space="preserve">  σ’av =</t>
  </si>
  <si>
    <t>σy &amp; τxy = 0 so that,  σ’av =</t>
  </si>
  <si>
    <t xml:space="preserve"> σav</t>
  </si>
  <si>
    <t>σ’av =</t>
  </si>
  <si>
    <t>The von Mises' effective stress, (σ’) or distortion energy stress is the</t>
  </si>
  <si>
    <t>σy &amp; τxy = 0 so that,  σ’alt =</t>
  </si>
  <si>
    <t xml:space="preserve"> σalt</t>
  </si>
  <si>
    <t>σ’alt =</t>
  </si>
  <si>
    <t>Static stress concentration factor Kt:</t>
  </si>
  <si>
    <t>The max applied mean (σ’av) and alternating (σ’alt) stresses in the beam have been calculated above.</t>
  </si>
  <si>
    <t>Now the allowable fatigue endurance stress for the beam material will be estimated.</t>
  </si>
  <si>
    <t>if Sut &lt; 200,000 psi</t>
  </si>
  <si>
    <t>Uncorrected fatigue endurance limit stress.</t>
  </si>
  <si>
    <t>(Fmax / (6*E*I))*(x^3 - 3*a*x^2 - (x - a)^3))</t>
  </si>
  <si>
    <t>Fatigue load cycle safety factor.</t>
  </si>
  <si>
    <t>Corrected endurance limit stress,  Se'.</t>
  </si>
  <si>
    <t>The ratio of material fatigue endurance stress to applied alternating stress (Se') / σ’alt</t>
  </si>
  <si>
    <t>From above,  Sut =</t>
  </si>
  <si>
    <t>Se' * Sut / ( σ’alt * Sut +  σ’av * Se)</t>
  </si>
  <si>
    <t xml:space="preserve">in the formula below for fatigue safety factor (Nf). </t>
  </si>
  <si>
    <t>The maximum beam deflection (ymax) is given br the equation below:</t>
  </si>
  <si>
    <t>Deflection at beam free end,  ymax =</t>
  </si>
  <si>
    <t>ymax =</t>
  </si>
  <si>
    <t xml:space="preserve"> Note: In this case,  σy = 0.</t>
  </si>
  <si>
    <t>S =</t>
  </si>
  <si>
    <t>τ =</t>
  </si>
  <si>
    <t>Material allowable stress</t>
  </si>
  <si>
    <t>Applied direct stress</t>
  </si>
  <si>
    <t>Applied shear stress</t>
  </si>
  <si>
    <t xml:space="preserve"> bending and shear stresses within the beam.</t>
  </si>
  <si>
    <r>
      <t xml:space="preserve">σ1 acting on the planes inclined at angle </t>
    </r>
    <r>
      <rPr>
        <sz val="12"/>
        <rFont val="Arial"/>
        <family val="2"/>
      </rPr>
      <t>θ</t>
    </r>
    <r>
      <rPr>
        <sz val="12"/>
        <rFont val="Arial"/>
        <family val="2"/>
      </rPr>
      <t xml:space="preserve"> degrees and </t>
    </r>
    <r>
      <rPr>
        <sz val="12"/>
        <rFont val="Arial"/>
        <family val="2"/>
      </rPr>
      <t>θ</t>
    </r>
    <r>
      <rPr>
        <sz val="12"/>
        <rFont val="Arial"/>
        <family val="2"/>
      </rPr>
      <t xml:space="preserve"> + 90 degrees.</t>
    </r>
  </si>
  <si>
    <t xml:space="preserve">Principal stresses are the maximum, Sigma (σ1) and minimum  (σ2) normal   </t>
  </si>
  <si>
    <t xml:space="preserve">Material static strength is determined by increasing the tension load until it fractures. </t>
  </si>
  <si>
    <t xml:space="preserve">The compressive strength is equal to the tensile strength in ductile materials.  </t>
  </si>
  <si>
    <t>1. Maximum allowable static direct stress.</t>
  </si>
  <si>
    <t>2. Distortion energy</t>
  </si>
  <si>
    <t>Distortion energy or von Mises-Henky theory is the most accurate failure theory.</t>
  </si>
  <si>
    <t>In the case of pure torsion, σx = 0 and σy = 0.</t>
  </si>
  <si>
    <t>σ’ =</t>
  </si>
  <si>
    <t xml:space="preserve">( 3*τxy^2 )^0.5 </t>
  </si>
  <si>
    <t xml:space="preserve"> N =</t>
  </si>
  <si>
    <t>Syt / σ’</t>
  </si>
  <si>
    <t>Syt =</t>
  </si>
  <si>
    <t>Syt /( 3*τxy^2 )^0.5</t>
  </si>
  <si>
    <t>Material shear safety factor,  N =</t>
  </si>
  <si>
    <t>.577 * Syt</t>
  </si>
  <si>
    <t>Syt /( 1.732*τxy)</t>
  </si>
  <si>
    <t xml:space="preserve">The maximum shear-stress theory states that failure occurs when the max shear </t>
  </si>
  <si>
    <t xml:space="preserve">[ ( σ1^2 + σ2^2 – σ1*σ2 ]^0.5 </t>
  </si>
  <si>
    <t>Principal stress (2)    σ2 =</t>
  </si>
  <si>
    <t>The Moore circle diagram for torsion shows:</t>
  </si>
  <si>
    <t>This stress element shows pure tension</t>
  </si>
  <si>
    <t>due to bending or axial loading.</t>
  </si>
  <si>
    <t>The Moore circle diagram for tension shows:</t>
  </si>
  <si>
    <t xml:space="preserve">Kt is the stress concentration factor (Kt) in static bending.   </t>
  </si>
  <si>
    <t xml:space="preserve">  A95 =</t>
  </si>
  <si>
    <t>Se = Sn =</t>
  </si>
  <si>
    <t xml:space="preserve"> A95 =</t>
  </si>
  <si>
    <t xml:space="preserve"> See "Modified Goodman diagram" below.</t>
  </si>
  <si>
    <t>Shaft Diameter for Combined Torsion and Bending</t>
  </si>
  <si>
    <t>Ft =</t>
  </si>
  <si>
    <t>Motor power,  P =</t>
  </si>
  <si>
    <t>Shaft speed,  N =</t>
  </si>
  <si>
    <t>rpm</t>
  </si>
  <si>
    <t>Motor torque,  T =</t>
  </si>
  <si>
    <t>33000*P / (2*π*N)</t>
  </si>
  <si>
    <t>hp</t>
  </si>
  <si>
    <t>ft-lbs</t>
  </si>
  <si>
    <t>Gear pitch circle radius,  R =</t>
  </si>
  <si>
    <t>D / 2</t>
  </si>
  <si>
    <t>lbs</t>
  </si>
  <si>
    <t>in-lbs</t>
  </si>
  <si>
    <t>Calculations</t>
  </si>
  <si>
    <t>Radial force,  Fr =</t>
  </si>
  <si>
    <t>Ft / Tan A</t>
  </si>
  <si>
    <t>Fr =</t>
  </si>
  <si>
    <t>FATIGUE LOADS</t>
  </si>
  <si>
    <t>cause fully reversed bending in the shaft</t>
  </si>
  <si>
    <t xml:space="preserve">The above tangential, Ft and radial, Fr forces </t>
  </si>
  <si>
    <t>as it rotates.</t>
  </si>
  <si>
    <t xml:space="preserve">Driver gear applies forces Ft and Fr </t>
  </si>
  <si>
    <t>to the driven gear. Equal and opposite</t>
  </si>
  <si>
    <t>Ft and Fr forces are applied to the driver</t>
  </si>
  <si>
    <t>R1*(A+B) - Fr*B</t>
  </si>
  <si>
    <t>Sum of moments about the right bearing =</t>
  </si>
  <si>
    <t>Sum of moments about any point in the shaft =</t>
  </si>
  <si>
    <t>Fr*B / (A+B)</t>
  </si>
  <si>
    <t>gear. (Newton's first law)</t>
  </si>
  <si>
    <t xml:space="preserve">Vertical shaft bending moment </t>
  </si>
  <si>
    <t xml:space="preserve">Horizontal shaft bending moment </t>
  </si>
  <si>
    <t>Mmax =</t>
  </si>
  <si>
    <t>R1*A</t>
  </si>
  <si>
    <t>Ft*B / (A+B)</t>
  </si>
  <si>
    <t>Mv =</t>
  </si>
  <si>
    <t>Mh =</t>
  </si>
  <si>
    <t>R1v =</t>
  </si>
  <si>
    <t>R1h =</t>
  </si>
  <si>
    <t>Length from left bearing to gear,  A =</t>
  </si>
  <si>
    <t>Length from right bearing to gear,  B =</t>
  </si>
  <si>
    <t>(Mv^2 + Mh^2)^0.5</t>
  </si>
  <si>
    <t>lb-in</t>
  </si>
  <si>
    <t>Maximum fully reversed fatigue bending moment in the shaft  (Mmax):</t>
  </si>
  <si>
    <t xml:space="preserve">in </t>
  </si>
  <si>
    <t xml:space="preserve">Gear Train </t>
  </si>
  <si>
    <t>Gear train velocity ratio,  VR =</t>
  </si>
  <si>
    <t>(N1/N2)*(N3/N4)</t>
  </si>
  <si>
    <t>Calculation</t>
  </si>
  <si>
    <t>VR =</t>
  </si>
  <si>
    <t>Driver Gear Teeth,  N1 =</t>
  </si>
  <si>
    <t>Driven Gear Teeth,  N2 =</t>
  </si>
  <si>
    <t>Driver Gear Teeth,  N3 =</t>
  </si>
  <si>
    <t>Driven Gear Teeth,  N4 =</t>
  </si>
  <si>
    <t>Driven Gear 4 Torque,  T4 =</t>
  </si>
  <si>
    <t>T4 =</t>
  </si>
  <si>
    <t>Driver Gear 1 Torque,  T1 =</t>
  </si>
  <si>
    <t>to calculate shaft diameters in the gear train shown here.</t>
  </si>
  <si>
    <t xml:space="preserve">Use the Input Data and Calculations in pages 1 through 3 above </t>
  </si>
  <si>
    <t xml:space="preserve">10^7 </t>
  </si>
  <si>
    <t>E  (psi)</t>
  </si>
  <si>
    <t>10^6</t>
  </si>
  <si>
    <t>G (psi)</t>
  </si>
  <si>
    <t xml:space="preserve">Tensile stress, σ = P / A = Load / Area (psi or Pa) </t>
  </si>
  <si>
    <t>Ultimate shear stress, Sus = T * r / J  (psi or Pa)                      [Note: * = Multiply]</t>
  </si>
  <si>
    <t xml:space="preserve">Most steel alloys have an E = 30 Mpsi = 207 GPa  </t>
  </si>
  <si>
    <t xml:space="preserve">Ductile materials stretch 5% or more before breaking. </t>
  </si>
  <si>
    <t xml:space="preserve">Steels:  Sus = 0.80 * Sut  </t>
  </si>
  <si>
    <t xml:space="preserve">Fatigue Strength and Endurance Limit = cycles at a stress level to failure. </t>
  </si>
  <si>
    <t xml:space="preserve"> below which they will not fail, no matter how many load cycles are applied.</t>
  </si>
  <si>
    <t xml:space="preserve">Steels and some titanium alloys have an “endurance limit stress” </t>
  </si>
  <si>
    <t>T1/VR</t>
  </si>
  <si>
    <t>σx =</t>
  </si>
  <si>
    <t>Principal stress (1),  σ1 =</t>
  </si>
  <si>
    <t>Principal stress (2),  σ2 =</t>
  </si>
  <si>
    <t>Max shear stress, Tau:</t>
  </si>
  <si>
    <r>
      <t xml:space="preserve">(σx </t>
    </r>
    <r>
      <rPr>
        <b/>
        <vertAlign val="subscript"/>
        <sz val="12"/>
        <rFont val="Arial"/>
        <family val="2"/>
      </rPr>
      <t xml:space="preserve"> + </t>
    </r>
    <r>
      <rPr>
        <b/>
        <sz val="12"/>
        <rFont val="Arial"/>
        <family val="2"/>
      </rPr>
      <t xml:space="preserve">σy)/ 2 - {[(σx </t>
    </r>
    <r>
      <rPr>
        <b/>
        <vertAlign val="subscript"/>
        <sz val="12"/>
        <rFont val="Arial"/>
        <family val="2"/>
      </rPr>
      <t xml:space="preserve"> - </t>
    </r>
    <r>
      <rPr>
        <b/>
        <sz val="12"/>
        <rFont val="Arial"/>
        <family val="2"/>
      </rPr>
      <t>σy)/ 2]^2 + τ^2}^0.5</t>
    </r>
  </si>
  <si>
    <r>
      <t xml:space="preserve">(σ1 </t>
    </r>
    <r>
      <rPr>
        <b/>
        <vertAlign val="subscript"/>
        <sz val="12"/>
        <rFont val="Arial"/>
        <family val="2"/>
      </rPr>
      <t xml:space="preserve"> - </t>
    </r>
    <r>
      <rPr>
        <b/>
        <sz val="12"/>
        <rFont val="Arial"/>
        <family val="2"/>
      </rPr>
      <t>σ2)/ 2</t>
    </r>
    <r>
      <rPr>
        <sz val="12"/>
        <rFont val="Arial"/>
        <family val="2"/>
      </rPr>
      <t xml:space="preserve"> </t>
    </r>
  </si>
  <si>
    <t>τxy =</t>
  </si>
  <si>
    <t>Material tension yield stress,  Syt =</t>
  </si>
  <si>
    <t>Given principal stresses:</t>
  </si>
  <si>
    <t>Given x and y direction stresses:</t>
  </si>
  <si>
    <t>The stress element shown here illustrates torsion which causes pure shear.</t>
  </si>
  <si>
    <r>
      <t>σ</t>
    </r>
    <r>
      <rPr>
        <sz val="12"/>
        <rFont val="Arial"/>
        <family val="2"/>
      </rPr>
      <t>x =</t>
    </r>
  </si>
  <si>
    <r>
      <t>σy</t>
    </r>
    <r>
      <rPr>
        <sz val="12"/>
        <rFont val="Arial"/>
        <family val="2"/>
      </rPr>
      <t xml:space="preserve"> =</t>
    </r>
  </si>
  <si>
    <t>(σ1  + σ2) / 2</t>
  </si>
  <si>
    <r>
      <t>σ2</t>
    </r>
    <r>
      <rPr>
        <sz val="12"/>
        <rFont val="Arial"/>
        <family val="2"/>
      </rPr>
      <t xml:space="preserve"> =</t>
    </r>
  </si>
  <si>
    <t>σ1 / 2</t>
  </si>
  <si>
    <t>σx / 2</t>
  </si>
  <si>
    <t>Principal stress,  σ1 =</t>
  </si>
  <si>
    <t>Principal stress,  σ2 =</t>
  </si>
  <si>
    <r>
      <t>σx</t>
    </r>
    <r>
      <rPr>
        <sz val="12"/>
        <rFont val="Arial"/>
        <family val="2"/>
      </rPr>
      <t xml:space="preserve"> =  σ1 =</t>
    </r>
  </si>
  <si>
    <t xml:space="preserve">Max shear stress,  τmax =  </t>
  </si>
  <si>
    <t xml:space="preserve">τmax =  </t>
  </si>
  <si>
    <t xml:space="preserve">or Max shear stress,  τmax =  </t>
  </si>
  <si>
    <t>Material tensile yield stress,  Sy =</t>
  </si>
  <si>
    <t>Material shear yield stress, Sys =</t>
  </si>
  <si>
    <t xml:space="preserve">1. The objective is to calculate the shaft size having the strength </t>
  </si>
  <si>
    <t>2. The strength in torsion, of shafts made of ductile materials</t>
  </si>
  <si>
    <t xml:space="preserve">3. The design torsion is equal to the applied to torsion multiplied </t>
  </si>
  <si>
    <t>by a combined stress concentration and fatigue factor Ks.</t>
  </si>
  <si>
    <t xml:space="preserve">2. The design bending is equal to the applied moment multiplied </t>
  </si>
  <si>
    <t>by a combined stress concentration and fatigue factor Kf.</t>
  </si>
  <si>
    <t xml:space="preserve">POWER TRANSMISSION SHAFTING </t>
  </si>
  <si>
    <t xml:space="preserve">Geometric stress concentration   </t>
  </si>
  <si>
    <t xml:space="preserve">factor (Kt) in static bending. </t>
  </si>
  <si>
    <t>STRESS CONCENTRATION FACTORS</t>
  </si>
  <si>
    <t>Static stress concentration factor of a rectangular bar in bending.</t>
  </si>
  <si>
    <t>Tension Force (+), Compression (-),  F =</t>
  </si>
  <si>
    <t>Moment, concave (+), convex (-),  M =</t>
  </si>
  <si>
    <t>Section Area,  A =</t>
  </si>
  <si>
    <t>Second Moment of Area,  I =</t>
  </si>
  <si>
    <t>F / A</t>
  </si>
  <si>
    <t>σd =</t>
  </si>
  <si>
    <t>Bending stress,  σm =</t>
  </si>
  <si>
    <t>Polar Moment of Area,  J =</t>
  </si>
  <si>
    <t>Shaft Diameter, D =</t>
  </si>
  <si>
    <t>π*D^2 / 4</t>
  </si>
  <si>
    <t>π*D^4 / 32</t>
  </si>
  <si>
    <t xml:space="preserve"> I =</t>
  </si>
  <si>
    <t>π*D^4 / 64</t>
  </si>
  <si>
    <t>J =</t>
  </si>
  <si>
    <t>Torsion,  T =</t>
  </si>
  <si>
    <t>Static Stress in Round Shafts</t>
  </si>
  <si>
    <t>M*D / (2*I)</t>
  </si>
  <si>
    <t>σm =</t>
  </si>
  <si>
    <t>T*D / (2*J)</t>
  </si>
  <si>
    <t>Direct stress (+) tension, (-) comp,  σd =</t>
  </si>
  <si>
    <t>1. Static direct, bending, and torsion stresses are calculated first.</t>
  </si>
  <si>
    <t>3. Fatigue stress concentration factors modify the static stress concentration.</t>
  </si>
  <si>
    <t>-</t>
  </si>
  <si>
    <t>From above,  σy =</t>
  </si>
  <si>
    <t>From above,  τxy =</t>
  </si>
  <si>
    <t>Torsional stress,  τxy =</t>
  </si>
  <si>
    <t>Given x and y stresses above find static safety factor (N):</t>
  </si>
  <si>
    <t>From above,  σx = σd + σm =</t>
  </si>
  <si>
    <t>Fatigue stress concentration factor (Kf)</t>
  </si>
  <si>
    <t>CANTILEVER BRACKET WITH FULLY REVERSED BENDING</t>
  </si>
  <si>
    <t>CANTILEVER BRACKET WITH FLUCTUATING BENDING</t>
  </si>
  <si>
    <t>Lo =Original length,  L = Length when load is applied.</t>
  </si>
  <si>
    <t>P9</t>
  </si>
  <si>
    <t>Part diameter, d =</t>
  </si>
  <si>
    <t>Fatigue testing is done with small diameter metal.</t>
  </si>
  <si>
    <t>This area of highest stress is called the A95 effective area.</t>
  </si>
  <si>
    <t>Non-round section areas, in bending , are stressed above 95% of their maximum stress, near the surface.</t>
  </si>
  <si>
    <t>The equivalent diameter of non-round parts is De.</t>
  </si>
  <si>
    <t>0.0765*d^2</t>
  </si>
  <si>
    <t>0.01045*d^2</t>
  </si>
  <si>
    <t>Solid or hollow round section, d =</t>
  </si>
  <si>
    <t>Equiv area, Rotating, A95 =</t>
  </si>
  <si>
    <t>Equiv area, Non-rotating, A95 =</t>
  </si>
  <si>
    <t>Rectangle height, h =</t>
  </si>
  <si>
    <t>Rectangle base, b =</t>
  </si>
  <si>
    <t>0.05*b*h</t>
  </si>
  <si>
    <t>Beam base, b =</t>
  </si>
  <si>
    <t>Beam height, h =</t>
  </si>
  <si>
    <t>Equiv area, A95 =</t>
  </si>
  <si>
    <t>Beam with t &gt; 0.025*b</t>
  </si>
  <si>
    <t>Fatigue Equivalent Size of Non Circular Sections</t>
  </si>
  <si>
    <t>Temperature, deg C,  T =</t>
  </si>
  <si>
    <t>(kpsi)</t>
  </si>
  <si>
    <t>From the Reliability table at the right:</t>
  </si>
  <si>
    <t>Surface factor from table,  A =</t>
  </si>
  <si>
    <t>Surface factor from table,  b =</t>
  </si>
  <si>
    <t>Surface Finish Factor,  Csurf =</t>
  </si>
  <si>
    <t>Surface Finish Factor</t>
  </si>
  <si>
    <t>Input</t>
  </si>
  <si>
    <t>For,  550 &lt;T&lt;840 deg C,  Ctemp =</t>
  </si>
  <si>
    <t>The equation for the endurance stress line between P and Q is S(N) on a log-log scale:</t>
  </si>
  <si>
    <t>See temperature factor calculation above, T =</t>
  </si>
  <si>
    <t xml:space="preserve">8. The 1000 cycles strength (Sm),     </t>
  </si>
  <si>
    <t>From input data above,   Sut =</t>
  </si>
  <si>
    <r>
      <t xml:space="preserve">10. The number of cycles at </t>
    </r>
    <r>
      <rPr>
        <sz val="10"/>
        <rFont val="Arial"/>
      </rPr>
      <t>σ</t>
    </r>
    <r>
      <rPr>
        <sz val="10"/>
        <rFont val="Arial"/>
        <family val="2"/>
      </rPr>
      <t xml:space="preserve"> psi will now be calculated. </t>
    </r>
  </si>
  <si>
    <t>The fully reversed bending stress of σ psi intersects</t>
  </si>
  <si>
    <t>From above,  S(N) =</t>
  </si>
  <si>
    <t>cycles</t>
  </si>
  <si>
    <t>or Answer:  N =</t>
  </si>
  <si>
    <t>7. Corrected endurance limit,              Se =</t>
  </si>
  <si>
    <t>Data from above,  Cload =</t>
  </si>
  <si>
    <t>Find number of cycles (N) at fatigue stress S(N):</t>
  </si>
  <si>
    <t xml:space="preserve">Revise this Example for your application: </t>
  </si>
  <si>
    <t>Ke * Sut</t>
  </si>
  <si>
    <t>Reference: "Machine Design" by Norton</t>
  </si>
  <si>
    <t>Given ultimate tensile stress, kpsi,  Sut =</t>
  </si>
  <si>
    <t>Static notch concentration factor, Kt =</t>
  </si>
  <si>
    <t>Calculated max direct stress,  σ =</t>
  </si>
  <si>
    <t>Kt*σ</t>
  </si>
  <si>
    <t>Kt</t>
  </si>
  <si>
    <t>Plate small depth,  d =</t>
  </si>
  <si>
    <t>D/d=6</t>
  </si>
  <si>
    <t>D/d=1.2</t>
  </si>
  <si>
    <t>Calculated max static direct stress,  σ =</t>
  </si>
  <si>
    <t>The fatigue stress concentration factor (Kf) is a</t>
  </si>
  <si>
    <t>function of the sensitivity factor (q).</t>
  </si>
  <si>
    <t>nominal stress, σnom =</t>
  </si>
  <si>
    <t>Tension (+ )compression (-) load,  P =</t>
  </si>
  <si>
    <t>P/A + M*c/ I</t>
  </si>
  <si>
    <t>Fatigue Notch Sensitivity Factor, q applied to the nominal stress:</t>
  </si>
  <si>
    <t xml:space="preserve">  σe =</t>
  </si>
  <si>
    <t>Design fatigue endurance stress,  σe =</t>
  </si>
  <si>
    <t>From calculation above,  Kf =</t>
  </si>
  <si>
    <t>Small depth,  d =</t>
  </si>
  <si>
    <t>Static stress concentration factor for the round shaft above:</t>
  </si>
  <si>
    <t>Input Data From Table</t>
  </si>
  <si>
    <t>Enter value from table above, A =</t>
  </si>
  <si>
    <t>Enter value from table above, b =</t>
  </si>
  <si>
    <t>Notch Radius, inches,  r =</t>
  </si>
  <si>
    <t>Type input from table,  (a)^0.5 =</t>
  </si>
  <si>
    <t>Applied moment,  M =</t>
  </si>
  <si>
    <t>Distance, neutral axis to surface,  c =</t>
  </si>
  <si>
    <t>Width,  b =</t>
  </si>
  <si>
    <t>Large depth,  D =</t>
  </si>
  <si>
    <t>Load distance from support,  a =</t>
  </si>
  <si>
    <t>Revise values in this example for your problem:</t>
  </si>
  <si>
    <t>Material ultimate strength,  Sut =</t>
  </si>
  <si>
    <t>Plate large depth,  D =</t>
  </si>
  <si>
    <t>Static concentration factor from table, Kt =</t>
  </si>
  <si>
    <t>Notches and Stress Concentration in Fatigue Cyclic Loading</t>
  </si>
  <si>
    <t xml:space="preserve">r/d  </t>
  </si>
  <si>
    <t xml:space="preserve">Geometric stress concentration factor ( Kf ) in fatigue bending.  </t>
  </si>
  <si>
    <t>Copy Kt data fom table above,  Kt =</t>
  </si>
  <si>
    <t>Section vertical second area of moment,  I =</t>
  </si>
  <si>
    <t>B*H^3 / 12</t>
  </si>
  <si>
    <t>Base, inches,  B =</t>
  </si>
  <si>
    <t>Height, inches,  H =</t>
  </si>
  <si>
    <t>Rectangular Sections:</t>
  </si>
  <si>
    <t>Circular Sections:</t>
  </si>
  <si>
    <t>Diameter, inches,  D =</t>
  </si>
  <si>
    <r>
      <t>π</t>
    </r>
    <r>
      <rPr>
        <b/>
        <sz val="10"/>
        <rFont val="Arial"/>
        <family val="2"/>
      </rPr>
      <t>*D^4 / 64</t>
    </r>
  </si>
  <si>
    <t>B*H</t>
  </si>
  <si>
    <r>
      <t>π</t>
    </r>
    <r>
      <rPr>
        <b/>
        <sz val="10"/>
        <rFont val="Arial"/>
        <family val="2"/>
      </rPr>
      <t>*D^2 / 4</t>
    </r>
  </si>
  <si>
    <t>Section polar second area of moment,  J =</t>
  </si>
  <si>
    <r>
      <t>π</t>
    </r>
    <r>
      <rPr>
        <b/>
        <sz val="10"/>
        <rFont val="Arial"/>
        <family val="2"/>
      </rPr>
      <t>*D^4 / 32</t>
    </r>
  </si>
  <si>
    <t>Section Area, A =</t>
  </si>
  <si>
    <t>Section area, (se below) A =</t>
  </si>
  <si>
    <t>Section second area of moment, (see below) I =</t>
  </si>
  <si>
    <t>From above, D/d =</t>
  </si>
  <si>
    <t>From above,  r/d =</t>
  </si>
  <si>
    <t>Enter value from, "Notches" tab, Kt =</t>
  </si>
  <si>
    <r>
      <t xml:space="preserve">for </t>
    </r>
    <r>
      <rPr>
        <b/>
        <sz val="10"/>
        <rFont val="Arial"/>
        <family val="2"/>
      </rPr>
      <t>D/d</t>
    </r>
    <r>
      <rPr>
        <sz val="10"/>
        <rFont val="Arial"/>
        <family val="2"/>
      </rPr>
      <t xml:space="preserve"> and </t>
    </r>
    <r>
      <rPr>
        <b/>
        <sz val="10"/>
        <rFont val="Arial"/>
        <family val="2"/>
      </rPr>
      <t>r/d</t>
    </r>
    <r>
      <rPr>
        <sz val="10"/>
        <rFont val="Arial"/>
        <family val="2"/>
      </rPr>
      <t xml:space="preserve"> above.       </t>
    </r>
  </si>
  <si>
    <t>From, "S-N Curve" tab,  Cload =</t>
  </si>
  <si>
    <t>From, "S-N Curve" tab,  Ctemp =</t>
  </si>
  <si>
    <t>From, "S-N Curve" tab,  Creliab =</t>
  </si>
  <si>
    <t>From, "S-N Curve" tab,  A =</t>
  </si>
  <si>
    <t>From, "S-N Curve" tab,  b =</t>
  </si>
  <si>
    <t>Note:Sut = kpsi not psi.</t>
  </si>
  <si>
    <t>A*(Sut)^ b</t>
  </si>
  <si>
    <t>Design the bracket for fully reversed load F for N cycles with 99.99% reliability.</t>
  </si>
  <si>
    <t>From problem above,  Reliability =</t>
  </si>
  <si>
    <r>
      <t>σ</t>
    </r>
    <r>
      <rPr>
        <b/>
        <sz val="10"/>
        <rFont val="Arial"/>
        <family val="2"/>
      </rPr>
      <t>nom =</t>
    </r>
  </si>
  <si>
    <t>σa =</t>
  </si>
  <si>
    <t>From above input data,  Sut =</t>
  </si>
  <si>
    <t xml:space="preserve">  From "Notches" tab, a^0.5 =</t>
  </si>
  <si>
    <t>Gear pressure angle,  A =</t>
  </si>
  <si>
    <t>deg</t>
  </si>
  <si>
    <t>Spur gear pitch circle diameter,  D =</t>
  </si>
  <si>
    <t>Tip / R</t>
  </si>
  <si>
    <t xml:space="preserve"> Torque, ft- lbs, Tfp =</t>
  </si>
  <si>
    <t xml:space="preserve">  σmax =</t>
  </si>
  <si>
    <t>Cload*Csize*Csurf*Ctemp*Creliab*Se</t>
  </si>
  <si>
    <t>Equiv area from above, A95 =</t>
  </si>
  <si>
    <t>Equiv area from above, Csize =</t>
  </si>
  <si>
    <t>2. Load factor from above (Cload)</t>
  </si>
  <si>
    <t>3. Size factor from above (Csize)</t>
  </si>
  <si>
    <t>M257 METAL FATIGUE EXCEL CALCULATIONS</t>
  </si>
  <si>
    <t>John Andrew, PE</t>
  </si>
  <si>
    <t xml:space="preserve"> [ Note: ( * ) = Multiply ]</t>
  </si>
  <si>
    <t>Definitions</t>
  </si>
  <si>
    <t>Endurance factor,  Ke =</t>
  </si>
  <si>
    <t>Material endurance factor from above,  Ke =</t>
  </si>
  <si>
    <t>2. Static stress concentration factors are applied to the above static stresses.</t>
  </si>
  <si>
    <r>
      <t xml:space="preserve">Calculated nominal direct stress,  </t>
    </r>
    <r>
      <rPr>
        <sz val="10"/>
        <rFont val="Arial"/>
      </rPr>
      <t>σ</t>
    </r>
    <r>
      <rPr>
        <sz val="10"/>
        <rFont val="Arial"/>
        <family val="2"/>
      </rPr>
      <t xml:space="preserve"> =</t>
    </r>
  </si>
  <si>
    <t>fully reversed transverse force F.</t>
  </si>
  <si>
    <t>9. Notch sensitivity q.</t>
  </si>
  <si>
    <t>12.  Remaining correction factors.</t>
  </si>
  <si>
    <t xml:space="preserve"> transverse force (F) near the end of the bracket.</t>
  </si>
  <si>
    <t>The three Forces (F) to be analyzed are:</t>
  </si>
  <si>
    <t>Beam material Young's Modulus, E =</t>
  </si>
  <si>
    <t>is combine with the ratio of material yield stress to applied mean stress (Sy) / σ’av</t>
  </si>
  <si>
    <t>SPUR GEAR FORCES</t>
  </si>
  <si>
    <t>Tangential force,  Ft =</t>
  </si>
  <si>
    <t>KPa</t>
  </si>
  <si>
    <t>QUIZ</t>
  </si>
  <si>
    <t xml:space="preserve"> Torque, in- lbs, T =</t>
  </si>
  <si>
    <t>Shaft Moment and Torque</t>
  </si>
  <si>
    <t>Use this side to solve problems</t>
  </si>
  <si>
    <t>Use this side is an example</t>
  </si>
  <si>
    <t>ASME Code Load Factors</t>
  </si>
  <si>
    <t>Stationary shaft:</t>
  </si>
  <si>
    <t>Load Case</t>
  </si>
  <si>
    <t>Cm</t>
  </si>
  <si>
    <t>Ct</t>
  </si>
  <si>
    <t>Load gradually applied</t>
  </si>
  <si>
    <t>Load sudenly applied</t>
  </si>
  <si>
    <t>B</t>
  </si>
  <si>
    <t>1.5 to 2.0</t>
  </si>
  <si>
    <t>Rotating shaft:</t>
  </si>
  <si>
    <t>Load sudenly applied (minor shock)</t>
  </si>
  <si>
    <t>C</t>
  </si>
  <si>
    <t>Load sudenly applied (heavy shock)</t>
  </si>
  <si>
    <t>D</t>
  </si>
  <si>
    <t>2.0 to 3.0</t>
  </si>
  <si>
    <t>1.5 to 3.0</t>
  </si>
  <si>
    <t>ASME Code for Commercial Steel Shafting</t>
  </si>
  <si>
    <t xml:space="preserve"> Shafts without keyway,  Sa =</t>
  </si>
  <si>
    <t>Mpa</t>
  </si>
  <si>
    <t>Shafts with keyway,  Sa =</t>
  </si>
  <si>
    <t>ASME Code for Steel Purchased Under Definite Specifications</t>
  </si>
  <si>
    <t>Sa =</t>
  </si>
  <si>
    <t>30% of the yield strength but not over 18% of the ultimate</t>
  </si>
  <si>
    <t>strength in tension for shafts without keyways.</t>
  </si>
  <si>
    <t>These values are to be reduced by 25% for the presence of keyways.</t>
  </si>
  <si>
    <t>Shaft material yeild stress,  Sy =</t>
  </si>
  <si>
    <t>Shaft material ultimate stress,  Su =</t>
  </si>
  <si>
    <t>Shaft Without Keyway</t>
  </si>
  <si>
    <t>30% of material yield strength =</t>
  </si>
  <si>
    <t>18% of material ultimate strength =</t>
  </si>
  <si>
    <t>Shaft With Keyway</t>
  </si>
  <si>
    <t>25% of 30% of material yield strength =</t>
  </si>
  <si>
    <t>25% of 18% of material ultimate strength =</t>
  </si>
  <si>
    <t>Calculate Shaft Diameter</t>
  </si>
  <si>
    <t>Allowable shaft shear stress,  Sa =</t>
  </si>
  <si>
    <t>ASME Code Load Case =</t>
  </si>
  <si>
    <t xml:space="preserve">C </t>
  </si>
  <si>
    <t>ASME Code Load Factor,  Cm =</t>
  </si>
  <si>
    <t>See "Goal Seek" tab below.</t>
  </si>
  <si>
    <t>ASME Code Load Factor,  Ct =</t>
  </si>
  <si>
    <t>Given safety factor,  SF =</t>
  </si>
  <si>
    <t>Shaft outside diameter,  D =</t>
  </si>
  <si>
    <t>Shaft inside diameter,  d =</t>
  </si>
  <si>
    <t>Motor torque (from above),  T =</t>
  </si>
  <si>
    <t>in-lb</t>
  </si>
  <si>
    <t>Shaft maximum moment (from above)  Mmax = M =</t>
  </si>
  <si>
    <t>Ratio of inner to outer diameters of the shaft, k =</t>
  </si>
  <si>
    <t>k = 0 for a solid shaft because inner diameter is zero</t>
  </si>
  <si>
    <t>(16 / ((π*D^3)*(1-k^4))) * (((Cm*M + ((a*F*D(1 +k^2)/8))^2 + (Ct*T)^2)^(1/2)</t>
  </si>
  <si>
    <t>Subtract Sa,  0 =</t>
  </si>
  <si>
    <t>(16 / ((π*D^3)*(1-k^4))) * (((Cm*M + ((a*F*D(1 +k^2)/8))^2 + (Ct*T)^2)^(1/2) - Sa</t>
  </si>
  <si>
    <t>Use Goal Seek D value to make equation = 0 =</t>
  </si>
  <si>
    <t>Goal Seek Shaft diameter from above,  Dg =</t>
  </si>
  <si>
    <t>Next larger standard shaft diameter,  D =</t>
  </si>
  <si>
    <t>M257  ESTIMATING FATIGUE ENDURANCE LIMIT-US Units</t>
  </si>
  <si>
    <t>Rev: 28 Aug 2023</t>
  </si>
</sst>
</file>

<file path=xl/styles.xml><?xml version="1.0" encoding="utf-8"?>
<styleSheet xmlns="http://schemas.openxmlformats.org/spreadsheetml/2006/main">
  <numFmts count="7">
    <numFmt numFmtId="172" formatCode="0.000"/>
    <numFmt numFmtId="173" formatCode="0.0E+00"/>
    <numFmt numFmtId="174" formatCode="0.0"/>
    <numFmt numFmtId="175" formatCode="0.00000"/>
    <numFmt numFmtId="177" formatCode="0.0000"/>
    <numFmt numFmtId="178" formatCode="0.000000"/>
    <numFmt numFmtId="183" formatCode="#,##0.0000"/>
  </numFmts>
  <fonts count="25">
    <font>
      <sz val="10"/>
      <name val="Arial"/>
    </font>
    <font>
      <sz val="12"/>
      <name val="Arial"/>
      <family val="2"/>
    </font>
    <font>
      <b/>
      <sz val="12"/>
      <name val="Arial"/>
      <family val="2"/>
    </font>
    <font>
      <sz val="8"/>
      <name val="Arial"/>
      <family val="2"/>
    </font>
    <font>
      <b/>
      <sz val="10"/>
      <name val="Arial"/>
      <family val="2"/>
    </font>
    <font>
      <sz val="10"/>
      <name val="Arial"/>
      <family val="2"/>
    </font>
    <font>
      <sz val="12"/>
      <name val="Arial"/>
      <family val="2"/>
    </font>
    <font>
      <b/>
      <sz val="12"/>
      <color indexed="10"/>
      <name val="Arial"/>
      <family val="2"/>
    </font>
    <font>
      <sz val="12"/>
      <color indexed="10"/>
      <name val="Arial"/>
      <family val="2"/>
    </font>
    <font>
      <b/>
      <vertAlign val="subscript"/>
      <sz val="12"/>
      <name val="Arial"/>
      <family val="2"/>
    </font>
    <font>
      <u/>
      <sz val="12"/>
      <name val="Arial"/>
      <family val="2"/>
    </font>
    <font>
      <b/>
      <sz val="12"/>
      <color indexed="12"/>
      <name val="Arial"/>
      <family val="2"/>
    </font>
    <font>
      <b/>
      <sz val="12"/>
      <name val="Arial"/>
      <family val="2"/>
    </font>
    <font>
      <u/>
      <sz val="10"/>
      <name val="Arial"/>
      <family val="2"/>
    </font>
    <font>
      <b/>
      <sz val="10"/>
      <color indexed="10"/>
      <name val="Arial"/>
      <family val="2"/>
    </font>
    <font>
      <b/>
      <sz val="10"/>
      <name val="Arial"/>
      <family val="2"/>
    </font>
    <font>
      <b/>
      <u/>
      <sz val="10"/>
      <name val="Arial"/>
      <family val="2"/>
    </font>
    <font>
      <b/>
      <sz val="9"/>
      <name val="Arial"/>
      <family val="2"/>
    </font>
    <font>
      <b/>
      <sz val="14"/>
      <color indexed="12"/>
      <name val="Arial"/>
      <family val="2"/>
    </font>
    <font>
      <sz val="10"/>
      <color theme="1"/>
      <name val="Arial"/>
      <family val="2"/>
    </font>
    <font>
      <b/>
      <sz val="10"/>
      <color theme="1"/>
      <name val="Arial"/>
      <family val="2"/>
    </font>
    <font>
      <b/>
      <sz val="12"/>
      <color theme="1"/>
      <name val="Arial"/>
      <family val="2"/>
    </font>
    <font>
      <b/>
      <sz val="11"/>
      <color theme="1"/>
      <name val="Calibri"/>
      <family val="2"/>
      <scheme val="minor"/>
    </font>
    <font>
      <sz val="10"/>
      <color theme="1"/>
      <name val="Calibri"/>
      <family val="2"/>
      <scheme val="minor"/>
    </font>
    <font>
      <sz val="11"/>
      <color theme="1"/>
      <name val="Arial"/>
      <family val="2"/>
    </font>
  </fonts>
  <fills count="5">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s>
  <cellStyleXfs count="1">
    <xf numFmtId="0" fontId="0" fillId="0" borderId="0"/>
  </cellStyleXfs>
  <cellXfs count="360">
    <xf numFmtId="0" fontId="0" fillId="0" borderId="0" xfId="0"/>
    <xf numFmtId="172" fontId="2" fillId="0" borderId="0" xfId="0" applyNumberFormat="1" applyFont="1" applyAlignment="1">
      <alignment horizontal="right"/>
    </xf>
    <xf numFmtId="172" fontId="1" fillId="0" borderId="0" xfId="0" applyNumberFormat="1" applyFont="1"/>
    <xf numFmtId="172" fontId="6" fillId="0" borderId="0" xfId="0" applyNumberFormat="1" applyFont="1" applyAlignment="1">
      <alignment horizontal="right"/>
    </xf>
    <xf numFmtId="172" fontId="1" fillId="0" borderId="0" xfId="0" applyNumberFormat="1" applyFont="1" applyAlignment="1">
      <alignment horizontal="left"/>
    </xf>
    <xf numFmtId="172" fontId="2" fillId="0" borderId="0" xfId="0" applyNumberFormat="1" applyFont="1" applyAlignment="1">
      <alignment horizontal="center"/>
    </xf>
    <xf numFmtId="1" fontId="1" fillId="0" borderId="0" xfId="0" applyNumberFormat="1" applyFont="1" applyAlignment="1">
      <alignment horizontal="left"/>
    </xf>
    <xf numFmtId="172" fontId="2" fillId="0" borderId="0" xfId="0" applyNumberFormat="1" applyFont="1" applyAlignment="1">
      <alignment horizontal="left"/>
    </xf>
    <xf numFmtId="172" fontId="6" fillId="0" borderId="0" xfId="0" applyNumberFormat="1" applyFont="1" applyAlignment="1">
      <alignment horizontal="left"/>
    </xf>
    <xf numFmtId="172" fontId="2" fillId="0" borderId="0" xfId="0" applyNumberFormat="1" applyFont="1"/>
    <xf numFmtId="174" fontId="1" fillId="0" borderId="0" xfId="0" applyNumberFormat="1" applyFont="1" applyAlignment="1">
      <alignment horizontal="left"/>
    </xf>
    <xf numFmtId="2" fontId="2" fillId="0" borderId="0" xfId="0" applyNumberFormat="1" applyFont="1" applyAlignment="1">
      <alignment horizontal="left"/>
    </xf>
    <xf numFmtId="1" fontId="1" fillId="0" borderId="0" xfId="0" applyNumberFormat="1" applyFont="1"/>
    <xf numFmtId="172" fontId="6" fillId="0" borderId="0" xfId="0" applyNumberFormat="1" applyFont="1"/>
    <xf numFmtId="172" fontId="1" fillId="0" borderId="0" xfId="0" quotePrefix="1" applyNumberFormat="1" applyFont="1" applyAlignment="1">
      <alignment horizontal="left"/>
    </xf>
    <xf numFmtId="175" fontId="1" fillId="0" borderId="0" xfId="0" quotePrefix="1" applyNumberFormat="1" applyFont="1" applyAlignment="1">
      <alignment horizontal="left"/>
    </xf>
    <xf numFmtId="173" fontId="2" fillId="0" borderId="0" xfId="0" applyNumberFormat="1" applyFont="1" applyAlignment="1">
      <alignment horizontal="left"/>
    </xf>
    <xf numFmtId="172" fontId="7" fillId="0" borderId="0" xfId="0" applyNumberFormat="1" applyFont="1" applyAlignment="1">
      <alignment horizontal="center"/>
    </xf>
    <xf numFmtId="178" fontId="2" fillId="0" borderId="0" xfId="0" applyNumberFormat="1" applyFont="1" applyAlignment="1">
      <alignment horizontal="center"/>
    </xf>
    <xf numFmtId="177" fontId="2" fillId="0" borderId="0" xfId="0" applyNumberFormat="1" applyFont="1" applyAlignment="1">
      <alignment horizontal="center"/>
    </xf>
    <xf numFmtId="174" fontId="2" fillId="0" borderId="0" xfId="0" applyNumberFormat="1" applyFont="1" applyAlignment="1">
      <alignment horizontal="center"/>
    </xf>
    <xf numFmtId="1" fontId="2" fillId="0" borderId="0" xfId="0" applyNumberFormat="1" applyFont="1" applyAlignment="1">
      <alignment horizontal="center"/>
    </xf>
    <xf numFmtId="1" fontId="7" fillId="0" borderId="0" xfId="0" applyNumberFormat="1" applyFont="1" applyAlignment="1">
      <alignment horizontal="center"/>
    </xf>
    <xf numFmtId="174" fontId="7" fillId="0" borderId="0" xfId="0" applyNumberFormat="1" applyFont="1" applyAlignment="1">
      <alignment horizontal="center"/>
    </xf>
    <xf numFmtId="2" fontId="7" fillId="0" borderId="0" xfId="0" applyNumberFormat="1" applyFont="1" applyAlignment="1">
      <alignment horizontal="center"/>
    </xf>
    <xf numFmtId="0" fontId="4" fillId="0" borderId="0" xfId="0" applyFont="1"/>
    <xf numFmtId="0" fontId="2" fillId="0" borderId="0" xfId="0" applyFont="1"/>
    <xf numFmtId="0" fontId="6" fillId="0" borderId="0" xfId="0" applyFont="1"/>
    <xf numFmtId="0" fontId="6" fillId="0" borderId="0" xfId="0" applyFont="1" applyAlignment="1">
      <alignment horizontal="left"/>
    </xf>
    <xf numFmtId="0" fontId="2" fillId="0" borderId="0" xfId="0" applyFont="1" applyAlignment="1">
      <alignment horizontal="left"/>
    </xf>
    <xf numFmtId="0" fontId="7" fillId="2" borderId="0" xfId="0" applyFont="1" applyFill="1" applyAlignment="1">
      <alignment horizontal="left"/>
    </xf>
    <xf numFmtId="0" fontId="7" fillId="2" borderId="0" xfId="0" applyFont="1" applyFill="1" applyBorder="1" applyAlignment="1">
      <alignment horizontal="left"/>
    </xf>
    <xf numFmtId="0" fontId="8" fillId="2" borderId="0" xfId="0" applyFont="1" applyFill="1" applyAlignment="1">
      <alignment horizontal="left"/>
    </xf>
    <xf numFmtId="0" fontId="6" fillId="0" borderId="0" xfId="0" applyFont="1" applyAlignment="1">
      <alignment horizontal="center"/>
    </xf>
    <xf numFmtId="172" fontId="6" fillId="0" borderId="0" xfId="0" applyNumberFormat="1" applyFont="1" applyAlignment="1">
      <alignment horizontal="center"/>
    </xf>
    <xf numFmtId="0" fontId="2" fillId="0" borderId="1" xfId="0" applyFont="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xf>
    <xf numFmtId="0" fontId="2" fillId="0" borderId="0" xfId="0" applyFont="1" applyAlignment="1">
      <alignment horizontal="center"/>
    </xf>
    <xf numFmtId="0" fontId="2" fillId="0" borderId="0" xfId="0" applyFont="1" applyAlignment="1">
      <alignment horizontal="right"/>
    </xf>
    <xf numFmtId="0" fontId="6" fillId="0" borderId="0" xfId="0" applyFont="1" applyAlignment="1">
      <alignment horizontal="right"/>
    </xf>
    <xf numFmtId="0" fontId="5" fillId="0" borderId="0" xfId="0" applyFont="1"/>
    <xf numFmtId="172" fontId="11" fillId="0" borderId="0" xfId="0" applyNumberFormat="1" applyFont="1" applyAlignment="1">
      <alignment horizontal="right"/>
    </xf>
    <xf numFmtId="172" fontId="11" fillId="0" borderId="0" xfId="0" applyNumberFormat="1" applyFont="1" applyAlignment="1">
      <alignment horizontal="center"/>
    </xf>
    <xf numFmtId="172" fontId="11" fillId="0" borderId="0" xfId="0" applyNumberFormat="1" applyFont="1"/>
    <xf numFmtId="1" fontId="2" fillId="0" borderId="0" xfId="0" applyNumberFormat="1" applyFont="1" applyAlignment="1">
      <alignment horizontal="left"/>
    </xf>
    <xf numFmtId="0" fontId="4" fillId="0" borderId="0" xfId="0" applyFont="1" applyAlignment="1">
      <alignment horizontal="left"/>
    </xf>
    <xf numFmtId="2" fontId="0" fillId="0" borderId="0" xfId="0" applyNumberFormat="1" applyAlignment="1">
      <alignment horizontal="center"/>
    </xf>
    <xf numFmtId="15" fontId="0" fillId="0" borderId="0" xfId="0" applyNumberFormat="1"/>
    <xf numFmtId="0" fontId="0" fillId="0" borderId="0" xfId="0" applyAlignment="1">
      <alignment horizontal="right"/>
    </xf>
    <xf numFmtId="1" fontId="0" fillId="0" borderId="0" xfId="0" applyNumberFormat="1" applyAlignment="1">
      <alignment horizontal="center"/>
    </xf>
    <xf numFmtId="0" fontId="4" fillId="0" borderId="0" xfId="0" applyFont="1" applyAlignment="1">
      <alignment horizontal="center"/>
    </xf>
    <xf numFmtId="2" fontId="0" fillId="0" borderId="0" xfId="0" applyNumberFormat="1" applyAlignment="1">
      <alignment horizontal="left"/>
    </xf>
    <xf numFmtId="172" fontId="0" fillId="0" borderId="0" xfId="0" applyNumberFormat="1" applyAlignment="1">
      <alignment horizontal="center"/>
    </xf>
    <xf numFmtId="0" fontId="4" fillId="0" borderId="0" xfId="0" applyFont="1" applyAlignment="1">
      <alignment horizontal="right"/>
    </xf>
    <xf numFmtId="1" fontId="4" fillId="0" borderId="0" xfId="0" applyNumberFormat="1" applyFont="1" applyAlignment="1">
      <alignment horizontal="center"/>
    </xf>
    <xf numFmtId="174" fontId="4" fillId="0" borderId="0" xfId="0" applyNumberFormat="1" applyFont="1" applyAlignment="1">
      <alignment horizontal="center"/>
    </xf>
    <xf numFmtId="172" fontId="4" fillId="0" borderId="0" xfId="0" applyNumberFormat="1" applyFont="1" applyAlignment="1">
      <alignment horizontal="center"/>
    </xf>
    <xf numFmtId="0" fontId="0" fillId="0" borderId="0" xfId="0" applyAlignment="1">
      <alignment horizontal="left"/>
    </xf>
    <xf numFmtId="0" fontId="5" fillId="0" borderId="0" xfId="0" applyFont="1" applyAlignment="1">
      <alignment horizontal="left"/>
    </xf>
    <xf numFmtId="0" fontId="0" fillId="0" borderId="0" xfId="0" applyAlignment="1"/>
    <xf numFmtId="0" fontId="10" fillId="0" borderId="0" xfId="0" applyFont="1"/>
    <xf numFmtId="2" fontId="4" fillId="0" borderId="0" xfId="0" applyNumberFormat="1" applyFont="1" applyAlignment="1">
      <alignment horizontal="center"/>
    </xf>
    <xf numFmtId="1" fontId="4" fillId="0" borderId="0" xfId="0" applyNumberFormat="1" applyFont="1" applyAlignment="1">
      <alignment horizontal="left"/>
    </xf>
    <xf numFmtId="2" fontId="4" fillId="0" borderId="0" xfId="0" applyNumberFormat="1" applyFont="1" applyAlignment="1">
      <alignment horizontal="left"/>
    </xf>
    <xf numFmtId="172" fontId="0" fillId="0" borderId="0" xfId="0" applyNumberFormat="1" applyAlignment="1">
      <alignment horizontal="left"/>
    </xf>
    <xf numFmtId="1" fontId="0" fillId="0" borderId="0" xfId="0" applyNumberFormat="1" applyAlignment="1">
      <alignment horizontal="left"/>
    </xf>
    <xf numFmtId="177" fontId="0" fillId="0" borderId="0" xfId="0" applyNumberFormat="1" applyAlignment="1">
      <alignment horizontal="left"/>
    </xf>
    <xf numFmtId="0" fontId="13" fillId="0" borderId="0" xfId="0" applyFont="1"/>
    <xf numFmtId="0" fontId="5" fillId="0" borderId="0" xfId="0" applyFont="1" applyAlignment="1">
      <alignment horizontal="right"/>
    </xf>
    <xf numFmtId="1" fontId="5" fillId="0" borderId="0" xfId="0" applyNumberFormat="1" applyFont="1" applyAlignment="1">
      <alignment horizontal="left"/>
    </xf>
    <xf numFmtId="172" fontId="4" fillId="0" borderId="0" xfId="0" applyNumberFormat="1" applyFont="1" applyAlignment="1">
      <alignment horizontal="left"/>
    </xf>
    <xf numFmtId="0" fontId="0" fillId="0" borderId="0" xfId="0" quotePrefix="1"/>
    <xf numFmtId="0" fontId="1" fillId="0" borderId="0" xfId="0" applyFont="1" applyAlignment="1">
      <alignment horizontal="right"/>
    </xf>
    <xf numFmtId="1" fontId="0" fillId="0" borderId="0" xfId="0" applyNumberFormat="1" applyBorder="1" applyAlignment="1">
      <alignment horizontal="left"/>
    </xf>
    <xf numFmtId="2" fontId="0" fillId="0" borderId="0" xfId="0" applyNumberFormat="1" applyBorder="1" applyAlignment="1">
      <alignment horizontal="center"/>
    </xf>
    <xf numFmtId="0" fontId="0" fillId="0" borderId="0" xfId="0" applyBorder="1"/>
    <xf numFmtId="2" fontId="4" fillId="0" borderId="0" xfId="0" applyNumberFormat="1" applyFont="1" applyBorder="1" applyAlignment="1">
      <alignment horizontal="center"/>
    </xf>
    <xf numFmtId="2" fontId="0" fillId="0" borderId="0" xfId="0" applyNumberFormat="1" applyBorder="1" applyAlignment="1">
      <alignment horizontal="left"/>
    </xf>
    <xf numFmtId="0" fontId="4" fillId="0" borderId="0" xfId="0" applyFont="1" applyBorder="1" applyAlignment="1">
      <alignment horizontal="center"/>
    </xf>
    <xf numFmtId="177" fontId="0" fillId="0" borderId="0" xfId="0" applyNumberFormat="1" applyBorder="1" applyAlignment="1">
      <alignment horizontal="center"/>
    </xf>
    <xf numFmtId="183" fontId="0" fillId="0" borderId="0" xfId="0" applyNumberFormat="1" applyBorder="1" applyAlignment="1">
      <alignment horizontal="center"/>
    </xf>
    <xf numFmtId="0" fontId="0" fillId="0" borderId="0" xfId="0" applyAlignment="1">
      <alignment horizontal="center"/>
    </xf>
    <xf numFmtId="1" fontId="14" fillId="0" borderId="0" xfId="0" applyNumberFormat="1" applyFont="1" applyAlignment="1">
      <alignment horizontal="center"/>
    </xf>
    <xf numFmtId="0" fontId="14" fillId="0" borderId="0" xfId="0" applyFont="1" applyAlignment="1">
      <alignment horizontal="center"/>
    </xf>
    <xf numFmtId="2" fontId="14" fillId="0" borderId="0" xfId="0" applyNumberFormat="1" applyFont="1" applyAlignment="1">
      <alignment horizontal="center"/>
    </xf>
    <xf numFmtId="1" fontId="5" fillId="0" borderId="0" xfId="0" applyNumberFormat="1" applyFont="1" applyAlignment="1">
      <alignment horizontal="center"/>
    </xf>
    <xf numFmtId="172" fontId="5" fillId="0" borderId="0" xfId="0" applyNumberFormat="1" applyFont="1"/>
    <xf numFmtId="172" fontId="5" fillId="0" borderId="0" xfId="0" applyNumberFormat="1" applyFont="1" applyAlignment="1">
      <alignment horizontal="center"/>
    </xf>
    <xf numFmtId="172" fontId="5" fillId="0" borderId="0" xfId="0" applyNumberFormat="1" applyFont="1" applyAlignment="1">
      <alignment horizontal="left"/>
    </xf>
    <xf numFmtId="172" fontId="5" fillId="0" borderId="0" xfId="0" applyNumberFormat="1" applyFont="1" applyAlignment="1">
      <alignment horizontal="right"/>
    </xf>
    <xf numFmtId="172" fontId="4" fillId="0" borderId="0" xfId="0" applyNumberFormat="1" applyFont="1" applyAlignment="1">
      <alignment horizontal="right"/>
    </xf>
    <xf numFmtId="172" fontId="4" fillId="0" borderId="0" xfId="0" applyNumberFormat="1" applyFont="1"/>
    <xf numFmtId="172" fontId="5" fillId="0" borderId="0" xfId="0" quotePrefix="1" applyNumberFormat="1" applyFont="1" applyAlignment="1">
      <alignment horizontal="center"/>
    </xf>
    <xf numFmtId="172" fontId="14" fillId="0" borderId="0" xfId="0" applyNumberFormat="1" applyFont="1" applyAlignment="1">
      <alignment horizontal="center"/>
    </xf>
    <xf numFmtId="174" fontId="5" fillId="0" borderId="0" xfId="0" applyNumberFormat="1" applyFont="1" applyAlignment="1">
      <alignment horizontal="left"/>
    </xf>
    <xf numFmtId="1" fontId="5" fillId="0" borderId="0" xfId="0" applyNumberFormat="1" applyFont="1"/>
    <xf numFmtId="11" fontId="4" fillId="0" borderId="0" xfId="0" applyNumberFormat="1" applyFont="1" applyAlignment="1">
      <alignment horizontal="left"/>
    </xf>
    <xf numFmtId="2" fontId="5" fillId="0" borderId="0" xfId="0" applyNumberFormat="1" applyFont="1" applyAlignment="1"/>
    <xf numFmtId="175" fontId="5" fillId="0" borderId="0" xfId="0" applyNumberFormat="1" applyFont="1"/>
    <xf numFmtId="2" fontId="5" fillId="0" borderId="0" xfId="0" applyNumberFormat="1" applyFont="1" applyAlignment="1">
      <alignment horizontal="right"/>
    </xf>
    <xf numFmtId="2" fontId="4" fillId="0" borderId="0" xfId="0" applyNumberFormat="1" applyFont="1" applyAlignment="1">
      <alignment horizontal="right"/>
    </xf>
    <xf numFmtId="0" fontId="7" fillId="0" borderId="0" xfId="0" applyFont="1" applyAlignment="1">
      <alignment horizontal="center"/>
    </xf>
    <xf numFmtId="2" fontId="2" fillId="0" borderId="0" xfId="0" applyNumberFormat="1" applyFont="1" applyAlignment="1">
      <alignment horizontal="center"/>
    </xf>
    <xf numFmtId="0" fontId="2" fillId="0" borderId="4" xfId="0" applyFont="1" applyBorder="1" applyAlignment="1">
      <alignment horizontal="center"/>
    </xf>
    <xf numFmtId="2" fontId="2" fillId="0" borderId="5" xfId="0" applyNumberFormat="1" applyFont="1" applyBorder="1" applyAlignment="1">
      <alignment horizontal="center"/>
    </xf>
    <xf numFmtId="2" fontId="2" fillId="0" borderId="6" xfId="0" applyNumberFormat="1" applyFont="1" applyBorder="1" applyAlignment="1">
      <alignment horizontal="center"/>
    </xf>
    <xf numFmtId="0" fontId="6" fillId="0" borderId="7" xfId="0" applyFont="1" applyBorder="1"/>
    <xf numFmtId="0" fontId="6" fillId="0" borderId="5" xfId="0" applyFont="1" applyBorder="1"/>
    <xf numFmtId="0" fontId="6" fillId="0" borderId="6" xfId="0" applyFont="1" applyBorder="1"/>
    <xf numFmtId="0" fontId="6" fillId="0" borderId="0" xfId="0" applyFont="1" applyBorder="1" applyAlignment="1">
      <alignment horizontal="center"/>
    </xf>
    <xf numFmtId="172" fontId="2" fillId="0" borderId="0" xfId="0" quotePrefix="1" applyNumberFormat="1" applyFont="1" applyAlignment="1">
      <alignment horizontal="center"/>
    </xf>
    <xf numFmtId="175" fontId="4" fillId="0" borderId="0" xfId="0" applyNumberFormat="1" applyFont="1" applyAlignment="1">
      <alignment horizontal="center"/>
    </xf>
    <xf numFmtId="172" fontId="5" fillId="0" borderId="5" xfId="0" applyNumberFormat="1" applyFont="1" applyBorder="1" applyAlignment="1">
      <alignment horizontal="center"/>
    </xf>
    <xf numFmtId="172" fontId="5" fillId="0" borderId="6" xfId="0" applyNumberFormat="1" applyFont="1" applyBorder="1" applyAlignment="1">
      <alignment horizontal="center"/>
    </xf>
    <xf numFmtId="0" fontId="4" fillId="0" borderId="0" xfId="0" applyFont="1" applyFill="1" applyBorder="1"/>
    <xf numFmtId="0" fontId="4" fillId="0" borderId="0" xfId="0" applyFont="1" applyFill="1" applyBorder="1" applyAlignment="1">
      <alignment horizontal="right"/>
    </xf>
    <xf numFmtId="175" fontId="14" fillId="0" borderId="0" xfId="0" applyNumberFormat="1" applyFont="1" applyAlignment="1">
      <alignment horizontal="center"/>
    </xf>
    <xf numFmtId="175" fontId="5" fillId="0" borderId="6" xfId="0" applyNumberFormat="1" applyFont="1" applyBorder="1" applyAlignment="1">
      <alignment horizontal="center"/>
    </xf>
    <xf numFmtId="1" fontId="5" fillId="0" borderId="5" xfId="0" applyNumberFormat="1" applyFont="1" applyBorder="1" applyAlignment="1">
      <alignment horizontal="right"/>
    </xf>
    <xf numFmtId="1" fontId="5" fillId="0" borderId="5" xfId="0" applyNumberFormat="1" applyFont="1" applyBorder="1"/>
    <xf numFmtId="1" fontId="5" fillId="0" borderId="6" xfId="0" applyNumberFormat="1" applyFont="1" applyBorder="1" applyAlignment="1">
      <alignment horizontal="right"/>
    </xf>
    <xf numFmtId="172" fontId="4" fillId="0" borderId="7" xfId="0" applyNumberFormat="1" applyFont="1" applyBorder="1" applyAlignment="1">
      <alignment horizontal="center"/>
    </xf>
    <xf numFmtId="172" fontId="5" fillId="0" borderId="5" xfId="0" applyNumberFormat="1" applyFont="1" applyBorder="1"/>
    <xf numFmtId="172" fontId="5" fillId="0" borderId="6" xfId="0" applyNumberFormat="1" applyFont="1" applyBorder="1"/>
    <xf numFmtId="172" fontId="4" fillId="0" borderId="4" xfId="0" applyNumberFormat="1" applyFont="1" applyBorder="1" applyAlignment="1">
      <alignment horizontal="right"/>
    </xf>
    <xf numFmtId="172" fontId="4" fillId="0" borderId="4" xfId="0" applyNumberFormat="1" applyFont="1" applyBorder="1" applyAlignment="1">
      <alignment horizontal="center"/>
    </xf>
    <xf numFmtId="0" fontId="6" fillId="3" borderId="0" xfId="0" applyFont="1" applyFill="1" applyAlignment="1">
      <alignment horizontal="left"/>
    </xf>
    <xf numFmtId="0" fontId="6" fillId="3" borderId="0" xfId="0" applyFont="1" applyFill="1"/>
    <xf numFmtId="0" fontId="2" fillId="3" borderId="0" xfId="0" applyFont="1" applyFill="1" applyAlignment="1">
      <alignment horizontal="left"/>
    </xf>
    <xf numFmtId="0" fontId="0" fillId="3" borderId="0" xfId="0" applyFill="1"/>
    <xf numFmtId="0" fontId="6" fillId="0" borderId="0" xfId="0" applyFont="1" applyFill="1"/>
    <xf numFmtId="172" fontId="4" fillId="0" borderId="6" xfId="0" applyNumberFormat="1" applyFont="1" applyBorder="1" applyAlignment="1">
      <alignment horizontal="center"/>
    </xf>
    <xf numFmtId="173" fontId="5" fillId="0" borderId="5" xfId="0" applyNumberFormat="1" applyFont="1" applyBorder="1"/>
    <xf numFmtId="173" fontId="5" fillId="0" borderId="6" xfId="0" applyNumberFormat="1" applyFont="1" applyBorder="1"/>
    <xf numFmtId="174" fontId="5" fillId="0" borderId="0" xfId="0" applyNumberFormat="1" applyFont="1" applyAlignment="1">
      <alignment horizontal="center"/>
    </xf>
    <xf numFmtId="2" fontId="5" fillId="0" borderId="0" xfId="0" applyNumberFormat="1" applyFont="1" applyAlignment="1">
      <alignment horizontal="center"/>
    </xf>
    <xf numFmtId="175" fontId="5" fillId="0" borderId="0" xfId="0" quotePrefix="1" applyNumberFormat="1" applyFont="1" applyAlignment="1">
      <alignment horizontal="center"/>
    </xf>
    <xf numFmtId="11" fontId="4" fillId="0" borderId="0" xfId="0" applyNumberFormat="1" applyFont="1" applyAlignment="1">
      <alignment horizontal="center"/>
    </xf>
    <xf numFmtId="172" fontId="4" fillId="0" borderId="0" xfId="0" applyNumberFormat="1" applyFont="1" applyBorder="1" applyAlignment="1">
      <alignment horizontal="left"/>
    </xf>
    <xf numFmtId="172" fontId="5" fillId="0" borderId="0" xfId="0" applyNumberFormat="1" applyFont="1" applyBorder="1"/>
    <xf numFmtId="172" fontId="14" fillId="0" borderId="0" xfId="0" applyNumberFormat="1" applyFont="1" applyBorder="1" applyAlignment="1">
      <alignment horizontal="center"/>
    </xf>
    <xf numFmtId="172" fontId="5" fillId="0" borderId="0" xfId="0" applyNumberFormat="1" applyFont="1" applyBorder="1" applyAlignment="1">
      <alignment horizontal="right"/>
    </xf>
    <xf numFmtId="1" fontId="5" fillId="0" borderId="0" xfId="0" applyNumberFormat="1" applyFont="1" applyBorder="1" applyAlignment="1">
      <alignment horizontal="left"/>
    </xf>
    <xf numFmtId="174" fontId="4" fillId="0" borderId="0" xfId="0" applyNumberFormat="1" applyFont="1" applyAlignment="1">
      <alignment horizontal="left"/>
    </xf>
    <xf numFmtId="3" fontId="4" fillId="0" borderId="0" xfId="0" applyNumberFormat="1" applyFont="1" applyAlignment="1">
      <alignment horizontal="left"/>
    </xf>
    <xf numFmtId="172" fontId="4" fillId="0" borderId="0" xfId="0" quotePrefix="1" applyNumberFormat="1" applyFont="1" applyAlignment="1">
      <alignment horizontal="left"/>
    </xf>
    <xf numFmtId="175" fontId="4" fillId="0" borderId="0" xfId="0" quotePrefix="1" applyNumberFormat="1" applyFont="1" applyAlignment="1">
      <alignment horizontal="left"/>
    </xf>
    <xf numFmtId="172" fontId="14" fillId="0" borderId="0" xfId="0" applyNumberFormat="1" applyFont="1" applyAlignment="1">
      <alignment horizontal="left"/>
    </xf>
    <xf numFmtId="0" fontId="4" fillId="0" borderId="0" xfId="0" applyFont="1" applyBorder="1" applyAlignment="1">
      <alignment horizontal="left"/>
    </xf>
    <xf numFmtId="177" fontId="4" fillId="0" borderId="0" xfId="0" applyNumberFormat="1" applyFont="1" applyBorder="1" applyAlignment="1">
      <alignment horizontal="left"/>
    </xf>
    <xf numFmtId="177" fontId="4" fillId="0" borderId="0" xfId="0" applyNumberFormat="1" applyFont="1" applyAlignment="1">
      <alignment horizontal="left"/>
    </xf>
    <xf numFmtId="175" fontId="5" fillId="0" borderId="5" xfId="0" applyNumberFormat="1" applyFont="1" applyBorder="1" applyAlignment="1">
      <alignment horizontal="center"/>
    </xf>
    <xf numFmtId="172" fontId="4" fillId="0" borderId="0" xfId="0" applyNumberFormat="1" applyFont="1" applyBorder="1" applyAlignment="1">
      <alignment horizontal="center"/>
    </xf>
    <xf numFmtId="175" fontId="5" fillId="0" borderId="0" xfId="0" applyNumberFormat="1" applyFont="1" applyBorder="1"/>
    <xf numFmtId="2" fontId="5" fillId="0" borderId="0" xfId="0" applyNumberFormat="1" applyFont="1" applyBorder="1" applyAlignment="1">
      <alignment horizontal="left"/>
    </xf>
    <xf numFmtId="2" fontId="4" fillId="0" borderId="0" xfId="0" applyNumberFormat="1" applyFont="1" applyBorder="1" applyAlignment="1">
      <alignment horizontal="left"/>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172" fontId="4" fillId="0" borderId="8" xfId="0" applyNumberFormat="1" applyFont="1" applyBorder="1" applyAlignment="1">
      <alignment horizontal="center"/>
    </xf>
    <xf numFmtId="172" fontId="4" fillId="0" borderId="9" xfId="0" applyNumberFormat="1" applyFont="1" applyBorder="1" applyAlignment="1">
      <alignment horizontal="center"/>
    </xf>
    <xf numFmtId="1" fontId="5" fillId="0" borderId="10" xfId="0" applyNumberFormat="1" applyFont="1" applyBorder="1" applyAlignment="1">
      <alignment horizontal="right"/>
    </xf>
    <xf numFmtId="1" fontId="5" fillId="0" borderId="10" xfId="0" applyNumberFormat="1" applyFont="1" applyBorder="1"/>
    <xf numFmtId="0" fontId="15" fillId="0" borderId="0" xfId="0" applyFont="1"/>
    <xf numFmtId="177" fontId="15" fillId="0" borderId="0" xfId="0" applyNumberFormat="1" applyFont="1" applyAlignment="1">
      <alignment horizontal="left"/>
    </xf>
    <xf numFmtId="172" fontId="15" fillId="0" borderId="0" xfId="0" applyNumberFormat="1" applyFont="1" applyAlignment="1">
      <alignment horizontal="left"/>
    </xf>
    <xf numFmtId="177" fontId="5" fillId="0" borderId="0" xfId="0" applyNumberFormat="1" applyFont="1" applyBorder="1" applyAlignment="1">
      <alignment horizontal="left"/>
    </xf>
    <xf numFmtId="0" fontId="15" fillId="0" borderId="0" xfId="0" applyFont="1" applyAlignment="1">
      <alignment horizontal="right"/>
    </xf>
    <xf numFmtId="172" fontId="5" fillId="0" borderId="11" xfId="0" applyNumberFormat="1" applyFont="1" applyFill="1" applyBorder="1"/>
    <xf numFmtId="172" fontId="14" fillId="0" borderId="12" xfId="0" applyNumberFormat="1" applyFont="1" applyFill="1" applyBorder="1" applyAlignment="1">
      <alignment horizontal="center"/>
    </xf>
    <xf numFmtId="172" fontId="5" fillId="0" borderId="12" xfId="0" applyNumberFormat="1" applyFont="1" applyFill="1" applyBorder="1"/>
    <xf numFmtId="172" fontId="5" fillId="0" borderId="8" xfId="0" applyNumberFormat="1" applyFont="1" applyFill="1" applyBorder="1"/>
    <xf numFmtId="172" fontId="5" fillId="0" borderId="2" xfId="0" applyNumberFormat="1" applyFont="1" applyFill="1" applyBorder="1" applyAlignment="1">
      <alignment horizontal="right"/>
    </xf>
    <xf numFmtId="172" fontId="5" fillId="0" borderId="0" xfId="0" applyNumberFormat="1" applyFont="1" applyFill="1" applyBorder="1"/>
    <xf numFmtId="172" fontId="5" fillId="0" borderId="10" xfId="0" applyNumberFormat="1" applyFont="1" applyFill="1" applyBorder="1"/>
    <xf numFmtId="1" fontId="14" fillId="0" borderId="0" xfId="0" applyNumberFormat="1" applyFont="1" applyFill="1" applyBorder="1" applyAlignment="1">
      <alignment horizontal="center"/>
    </xf>
    <xf numFmtId="172" fontId="4" fillId="0" borderId="2" xfId="0" applyNumberFormat="1" applyFont="1" applyFill="1" applyBorder="1" applyAlignment="1">
      <alignment horizontal="right"/>
    </xf>
    <xf numFmtId="172" fontId="4" fillId="0" borderId="0" xfId="0" applyNumberFormat="1" applyFont="1" applyFill="1" applyBorder="1" applyAlignment="1">
      <alignment horizontal="left"/>
    </xf>
    <xf numFmtId="172" fontId="4" fillId="0" borderId="3" xfId="0" applyNumberFormat="1" applyFont="1" applyFill="1" applyBorder="1" applyAlignment="1">
      <alignment horizontal="right"/>
    </xf>
    <xf numFmtId="172" fontId="4" fillId="0" borderId="13" xfId="0" applyNumberFormat="1" applyFont="1" applyFill="1" applyBorder="1" applyAlignment="1">
      <alignment horizontal="left"/>
    </xf>
    <xf numFmtId="172" fontId="5" fillId="0" borderId="13" xfId="0" applyNumberFormat="1" applyFont="1" applyFill="1" applyBorder="1"/>
    <xf numFmtId="172" fontId="5" fillId="0" borderId="9" xfId="0" applyNumberFormat="1" applyFont="1" applyFill="1" applyBorder="1"/>
    <xf numFmtId="0" fontId="4" fillId="0" borderId="0" xfId="0" applyFont="1" applyAlignment="1"/>
    <xf numFmtId="0" fontId="16" fillId="0" borderId="0" xfId="0" applyFont="1"/>
    <xf numFmtId="1" fontId="7" fillId="0" borderId="4" xfId="0" applyNumberFormat="1" applyFont="1" applyBorder="1" applyAlignment="1" applyProtection="1">
      <alignment horizontal="right"/>
      <protection locked="0"/>
    </xf>
    <xf numFmtId="0" fontId="6" fillId="0" borderId="7"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4" xfId="0" applyFont="1" applyBorder="1" applyAlignment="1" applyProtection="1">
      <alignment horizontal="center"/>
      <protection locked="0"/>
    </xf>
    <xf numFmtId="1" fontId="6" fillId="0" borderId="7" xfId="0" applyNumberFormat="1" applyFont="1" applyBorder="1" applyAlignment="1" applyProtection="1">
      <alignment horizontal="center"/>
      <protection locked="0"/>
    </xf>
    <xf numFmtId="1" fontId="6" fillId="0" borderId="5" xfId="0" applyNumberFormat="1" applyFont="1" applyBorder="1" applyAlignment="1" applyProtection="1">
      <alignment horizontal="center"/>
      <protection locked="0"/>
    </xf>
    <xf numFmtId="1" fontId="6" fillId="0" borderId="6" xfId="0" applyNumberFormat="1" applyFont="1" applyBorder="1" applyAlignment="1" applyProtection="1">
      <alignment horizontal="center"/>
      <protection locked="0"/>
    </xf>
    <xf numFmtId="0" fontId="6" fillId="0" borderId="0" xfId="0" applyFont="1" applyProtection="1">
      <protection locked="0"/>
    </xf>
    <xf numFmtId="0" fontId="6" fillId="0" borderId="0" xfId="0" applyFont="1" applyFill="1" applyAlignment="1" applyProtection="1">
      <alignment horizontal="left"/>
      <protection locked="0"/>
    </xf>
    <xf numFmtId="0" fontId="6" fillId="0" borderId="0" xfId="0" applyFont="1" applyFill="1" applyProtection="1">
      <protection locked="0"/>
    </xf>
    <xf numFmtId="0" fontId="2" fillId="0" borderId="0" xfId="0" applyFont="1" applyFill="1" applyAlignment="1" applyProtection="1">
      <alignment horizontal="left"/>
      <protection locked="0"/>
    </xf>
    <xf numFmtId="0" fontId="2" fillId="0" borderId="0" xfId="0" applyFont="1" applyAlignment="1" applyProtection="1">
      <alignment horizontal="left"/>
      <protection locked="0"/>
    </xf>
    <xf numFmtId="0" fontId="6" fillId="0" borderId="0" xfId="0" applyFont="1" applyAlignment="1" applyProtection="1">
      <alignment horizontal="center"/>
      <protection locked="0"/>
    </xf>
    <xf numFmtId="0" fontId="6" fillId="0" borderId="0" xfId="0" applyFont="1" applyAlignment="1" applyProtection="1">
      <alignment horizontal="left"/>
      <protection locked="0"/>
    </xf>
    <xf numFmtId="0" fontId="2" fillId="0" borderId="0" xfId="0" applyFont="1" applyBorder="1" applyAlignment="1" applyProtection="1">
      <alignment horizontal="right"/>
      <protection locked="0"/>
    </xf>
    <xf numFmtId="0" fontId="2" fillId="0" borderId="0" xfId="0" applyFont="1" applyBorder="1" applyAlignment="1" applyProtection="1">
      <alignment horizontal="center"/>
      <protection locked="0"/>
    </xf>
    <xf numFmtId="2" fontId="2" fillId="0" borderId="0" xfId="0" applyNumberFormat="1" applyFont="1" applyBorder="1" applyAlignment="1" applyProtection="1">
      <alignment horizontal="center"/>
      <protection locked="0"/>
    </xf>
    <xf numFmtId="0" fontId="2" fillId="0" borderId="0" xfId="0" applyFont="1" applyProtection="1">
      <protection locked="0"/>
    </xf>
    <xf numFmtId="172" fontId="5" fillId="0" borderId="4" xfId="0" applyNumberFormat="1" applyFont="1" applyBorder="1" applyAlignment="1" applyProtection="1">
      <alignment horizontal="left"/>
      <protection locked="0"/>
    </xf>
    <xf numFmtId="172" fontId="5" fillId="0" borderId="7" xfId="0" applyNumberFormat="1" applyFont="1" applyBorder="1" applyAlignment="1" applyProtection="1">
      <alignment horizontal="left"/>
      <protection locked="0"/>
    </xf>
    <xf numFmtId="172" fontId="5" fillId="0" borderId="6" xfId="0" applyNumberFormat="1" applyFont="1" applyBorder="1" applyAlignment="1" applyProtection="1">
      <alignment horizontal="left"/>
      <protection locked="0"/>
    </xf>
    <xf numFmtId="172" fontId="5" fillId="0" borderId="5" xfId="0" applyNumberFormat="1" applyFont="1" applyBorder="1" applyAlignment="1" applyProtection="1">
      <alignment horizontal="left"/>
      <protection locked="0"/>
    </xf>
    <xf numFmtId="1" fontId="5" fillId="0" borderId="6" xfId="0" applyNumberFormat="1" applyFont="1" applyBorder="1" applyAlignment="1" applyProtection="1">
      <alignment horizontal="left"/>
      <protection locked="0"/>
    </xf>
    <xf numFmtId="1" fontId="5" fillId="0" borderId="4" xfId="0" applyNumberFormat="1" applyFont="1" applyBorder="1" applyAlignment="1" applyProtection="1">
      <alignment horizontal="left"/>
      <protection locked="0"/>
    </xf>
    <xf numFmtId="1" fontId="5" fillId="0" borderId="4" xfId="0" applyNumberFormat="1" applyFont="1" applyFill="1" applyBorder="1" applyAlignment="1" applyProtection="1">
      <alignment horizontal="left"/>
      <protection locked="0"/>
    </xf>
    <xf numFmtId="1" fontId="5" fillId="0" borderId="7" xfId="0" applyNumberFormat="1" applyFont="1" applyBorder="1" applyAlignment="1" applyProtection="1">
      <alignment horizontal="left"/>
      <protection locked="0"/>
    </xf>
    <xf numFmtId="174" fontId="5" fillId="0" borderId="6" xfId="0" applyNumberFormat="1" applyFont="1" applyBorder="1" applyAlignment="1" applyProtection="1">
      <alignment horizontal="left"/>
      <protection locked="0"/>
    </xf>
    <xf numFmtId="2" fontId="5" fillId="0" borderId="7" xfId="0" applyNumberFormat="1" applyFont="1" applyBorder="1" applyAlignment="1" applyProtection="1">
      <alignment horizontal="left"/>
      <protection locked="0"/>
    </xf>
    <xf numFmtId="2" fontId="5" fillId="0" borderId="6" xfId="0" applyNumberFormat="1" applyFont="1" applyBorder="1" applyAlignment="1" applyProtection="1">
      <alignment horizontal="left"/>
      <protection locked="0"/>
    </xf>
    <xf numFmtId="2" fontId="5" fillId="0" borderId="4" xfId="0" applyNumberFormat="1" applyFont="1" applyBorder="1" applyAlignment="1" applyProtection="1">
      <alignment horizontal="left"/>
      <protection locked="0"/>
    </xf>
    <xf numFmtId="172" fontId="5" fillId="0" borderId="0" xfId="0" applyNumberFormat="1" applyFont="1" applyProtection="1">
      <protection locked="0"/>
    </xf>
    <xf numFmtId="172" fontId="4" fillId="0" borderId="0" xfId="0" applyNumberFormat="1" applyFont="1" applyAlignment="1" applyProtection="1">
      <alignment horizontal="center"/>
      <protection locked="0"/>
    </xf>
    <xf numFmtId="172" fontId="5" fillId="0" borderId="0" xfId="0" applyNumberFormat="1" applyFont="1" applyAlignment="1" applyProtection="1">
      <alignment horizontal="center"/>
      <protection locked="0"/>
    </xf>
    <xf numFmtId="172" fontId="5" fillId="0" borderId="0" xfId="0" applyNumberFormat="1" applyFont="1" applyAlignment="1" applyProtection="1">
      <alignment horizontal="right"/>
      <protection locked="0"/>
    </xf>
    <xf numFmtId="172" fontId="4" fillId="0" borderId="0" xfId="0" applyNumberFormat="1" applyFont="1" applyAlignment="1" applyProtection="1">
      <protection locked="0"/>
    </xf>
    <xf numFmtId="172" fontId="4" fillId="0" borderId="0" xfId="0" applyNumberFormat="1" applyFont="1" applyAlignment="1" applyProtection="1">
      <alignment horizontal="right"/>
      <protection locked="0"/>
    </xf>
    <xf numFmtId="172" fontId="4" fillId="0" borderId="0" xfId="0" applyNumberFormat="1" applyFont="1" applyProtection="1">
      <protection locked="0"/>
    </xf>
    <xf numFmtId="172" fontId="5" fillId="0" borderId="0" xfId="0" quotePrefix="1" applyNumberFormat="1" applyFont="1" applyAlignment="1" applyProtection="1">
      <alignment horizontal="center"/>
      <protection locked="0"/>
    </xf>
    <xf numFmtId="1" fontId="14" fillId="0" borderId="0" xfId="0" applyNumberFormat="1" applyFont="1" applyAlignment="1" applyProtection="1">
      <alignment horizontal="right"/>
      <protection locked="0"/>
    </xf>
    <xf numFmtId="1" fontId="14" fillId="0" borderId="0" xfId="0" applyNumberFormat="1" applyFont="1" applyAlignment="1" applyProtection="1">
      <alignment horizontal="center"/>
      <protection locked="0"/>
    </xf>
    <xf numFmtId="178" fontId="4" fillId="0" borderId="0" xfId="0" applyNumberFormat="1" applyFont="1" applyAlignment="1" applyProtection="1">
      <alignment horizontal="center"/>
      <protection locked="0"/>
    </xf>
    <xf numFmtId="174" fontId="14" fillId="0" borderId="0" xfId="0" applyNumberFormat="1" applyFont="1" applyAlignment="1" applyProtection="1">
      <alignment horizontal="center"/>
      <protection locked="0"/>
    </xf>
    <xf numFmtId="177" fontId="4" fillId="0" borderId="0" xfId="0" applyNumberFormat="1" applyFont="1" applyAlignment="1" applyProtection="1">
      <alignment horizontal="center"/>
      <protection locked="0"/>
    </xf>
    <xf numFmtId="172" fontId="14" fillId="0" borderId="0" xfId="0" applyNumberFormat="1" applyFont="1" applyAlignment="1" applyProtection="1">
      <alignment horizontal="center"/>
      <protection locked="0"/>
    </xf>
    <xf numFmtId="174" fontId="4" fillId="0" borderId="0" xfId="0" applyNumberFormat="1" applyFont="1" applyAlignment="1" applyProtection="1">
      <alignment horizontal="center"/>
      <protection locked="0"/>
    </xf>
    <xf numFmtId="1" fontId="4" fillId="0" borderId="0" xfId="0" applyNumberFormat="1" applyFont="1" applyAlignment="1" applyProtection="1">
      <alignment horizontal="center"/>
      <protection locked="0"/>
    </xf>
    <xf numFmtId="172" fontId="4" fillId="0" borderId="0" xfId="0" applyNumberFormat="1" applyFont="1" applyAlignment="1" applyProtection="1">
      <alignment horizontal="left"/>
      <protection locked="0"/>
    </xf>
    <xf numFmtId="178" fontId="5" fillId="0" borderId="0" xfId="0" applyNumberFormat="1" applyFont="1" applyAlignment="1" applyProtection="1">
      <alignment horizontal="center"/>
      <protection locked="0"/>
    </xf>
    <xf numFmtId="1" fontId="5" fillId="0" borderId="0" xfId="0" applyNumberFormat="1" applyFont="1" applyAlignment="1" applyProtection="1">
      <alignment horizontal="left"/>
      <protection locked="0"/>
    </xf>
    <xf numFmtId="172" fontId="5" fillId="0" borderId="0" xfId="0" applyNumberFormat="1" applyFont="1" applyAlignment="1" applyProtection="1">
      <alignment horizontal="left"/>
      <protection locked="0"/>
    </xf>
    <xf numFmtId="0" fontId="5" fillId="0" borderId="7" xfId="0" applyFont="1" applyBorder="1" applyAlignment="1" applyProtection="1">
      <alignment horizontal="left"/>
      <protection locked="0"/>
    </xf>
    <xf numFmtId="0" fontId="5" fillId="0" borderId="5" xfId="0" applyFont="1" applyBorder="1" applyAlignment="1" applyProtection="1">
      <alignment horizontal="left"/>
      <protection locked="0"/>
    </xf>
    <xf numFmtId="172" fontId="5" fillId="0" borderId="7" xfId="0" applyNumberFormat="1" applyFont="1" applyBorder="1" applyAlignment="1" applyProtection="1">
      <alignment horizontal="center"/>
      <protection locked="0"/>
    </xf>
    <xf numFmtId="172" fontId="5" fillId="0" borderId="5" xfId="0" applyNumberFormat="1" applyFont="1" applyBorder="1" applyAlignment="1" applyProtection="1">
      <alignment horizontal="center"/>
      <protection locked="0"/>
    </xf>
    <xf numFmtId="172" fontId="5" fillId="0" borderId="6" xfId="0" applyNumberFormat="1" applyFont="1" applyBorder="1" applyAlignment="1" applyProtection="1">
      <alignment horizontal="center"/>
      <protection locked="0"/>
    </xf>
    <xf numFmtId="175" fontId="5" fillId="0" borderId="7" xfId="0" applyNumberFormat="1" applyFont="1" applyBorder="1" applyAlignment="1" applyProtection="1">
      <alignment horizontal="center"/>
      <protection locked="0"/>
    </xf>
    <xf numFmtId="175" fontId="5" fillId="0" borderId="6" xfId="0" applyNumberFormat="1" applyFont="1" applyBorder="1" applyAlignment="1" applyProtection="1">
      <alignment horizontal="center"/>
      <protection locked="0"/>
    </xf>
    <xf numFmtId="0" fontId="5" fillId="0" borderId="0" xfId="0" applyFont="1" applyProtection="1">
      <protection locked="0"/>
    </xf>
    <xf numFmtId="0" fontId="5" fillId="0" borderId="0" xfId="0" applyFont="1" applyAlignment="1" applyProtection="1">
      <alignment horizontal="right"/>
      <protection locked="0"/>
    </xf>
    <xf numFmtId="0" fontId="4" fillId="0" borderId="0" xfId="0" applyFont="1" applyAlignment="1" applyProtection="1">
      <alignment horizontal="right"/>
      <protection locked="0"/>
    </xf>
    <xf numFmtId="0" fontId="4" fillId="0" borderId="0" xfId="0" applyFont="1" applyFill="1" applyBorder="1" applyAlignment="1" applyProtection="1">
      <alignment horizontal="right"/>
      <protection locked="0"/>
    </xf>
    <xf numFmtId="172" fontId="4" fillId="0" borderId="0" xfId="0" applyNumberFormat="1" applyFont="1" applyBorder="1" applyAlignment="1" applyProtection="1">
      <alignment horizontal="left"/>
      <protection locked="0"/>
    </xf>
    <xf numFmtId="172" fontId="5" fillId="0" borderId="0" xfId="0" applyNumberFormat="1" applyFont="1" applyBorder="1" applyProtection="1">
      <protection locked="0"/>
    </xf>
    <xf numFmtId="172" fontId="4" fillId="0" borderId="0" xfId="0" applyNumberFormat="1" applyFont="1" applyBorder="1" applyAlignment="1" applyProtection="1">
      <alignment horizontal="center"/>
      <protection locked="0"/>
    </xf>
    <xf numFmtId="172" fontId="4" fillId="0" borderId="0" xfId="0" applyNumberFormat="1" applyFont="1" applyBorder="1" applyAlignment="1" applyProtection="1">
      <alignment horizontal="right"/>
      <protection locked="0"/>
    </xf>
    <xf numFmtId="2" fontId="5" fillId="0" borderId="0" xfId="0" applyNumberFormat="1" applyFont="1" applyBorder="1" applyAlignment="1" applyProtection="1">
      <protection locked="0"/>
    </xf>
    <xf numFmtId="2" fontId="5" fillId="0" borderId="0" xfId="0" applyNumberFormat="1" applyFont="1" applyAlignment="1" applyProtection="1">
      <protection locked="0"/>
    </xf>
    <xf numFmtId="2" fontId="5" fillId="0" borderId="0" xfId="0" applyNumberFormat="1" applyFont="1" applyBorder="1" applyAlignment="1" applyProtection="1">
      <alignment horizontal="center"/>
      <protection locked="0"/>
    </xf>
    <xf numFmtId="2" fontId="5" fillId="0" borderId="0" xfId="0" applyNumberFormat="1" applyFont="1" applyBorder="1" applyAlignment="1" applyProtection="1">
      <alignment horizontal="right"/>
      <protection locked="0"/>
    </xf>
    <xf numFmtId="2" fontId="5" fillId="0" borderId="0" xfId="0" applyNumberFormat="1" applyFont="1" applyAlignment="1" applyProtection="1">
      <alignment horizontal="right"/>
      <protection locked="0"/>
    </xf>
    <xf numFmtId="175" fontId="5" fillId="0" borderId="0" xfId="0" applyNumberFormat="1" applyFont="1" applyBorder="1" applyAlignment="1" applyProtection="1">
      <alignment horizontal="center"/>
      <protection locked="0"/>
    </xf>
    <xf numFmtId="0" fontId="5" fillId="0" borderId="0" xfId="0" applyFont="1" applyBorder="1" applyProtection="1">
      <protection locked="0"/>
    </xf>
    <xf numFmtId="2" fontId="4" fillId="0" borderId="0" xfId="0" applyNumberFormat="1" applyFont="1" applyBorder="1" applyAlignment="1" applyProtection="1">
      <alignment horizontal="left"/>
      <protection locked="0"/>
    </xf>
    <xf numFmtId="172" fontId="5" fillId="0" borderId="0" xfId="0" applyNumberFormat="1" applyFont="1" applyBorder="1" applyAlignment="1" applyProtection="1">
      <alignment horizontal="right"/>
      <protection locked="0"/>
    </xf>
    <xf numFmtId="0" fontId="14" fillId="0" borderId="0" xfId="0" applyFont="1" applyBorder="1" applyAlignment="1" applyProtection="1">
      <alignment horizontal="center"/>
      <protection locked="0"/>
    </xf>
    <xf numFmtId="172" fontId="5" fillId="0" borderId="0" xfId="0" applyNumberFormat="1" applyFont="1" applyBorder="1" applyAlignment="1" applyProtection="1">
      <alignment horizontal="center"/>
      <protection locked="0"/>
    </xf>
    <xf numFmtId="175" fontId="5" fillId="0" borderId="0" xfId="0" applyNumberFormat="1" applyFont="1" applyBorder="1" applyProtection="1">
      <protection locked="0"/>
    </xf>
    <xf numFmtId="1" fontId="0" fillId="0" borderId="7" xfId="0" applyNumberFormat="1" applyBorder="1" applyAlignment="1" applyProtection="1">
      <alignment horizontal="left"/>
      <protection locked="0"/>
    </xf>
    <xf numFmtId="172" fontId="0" fillId="0" borderId="5" xfId="0" applyNumberFormat="1" applyBorder="1" applyAlignment="1" applyProtection="1">
      <alignment horizontal="left"/>
      <protection locked="0"/>
    </xf>
    <xf numFmtId="1" fontId="0" fillId="0" borderId="5" xfId="0" applyNumberFormat="1" applyBorder="1" applyAlignment="1" applyProtection="1">
      <alignment horizontal="left"/>
      <protection locked="0"/>
    </xf>
    <xf numFmtId="2" fontId="0" fillId="0" borderId="6" xfId="0" applyNumberFormat="1" applyBorder="1" applyAlignment="1" applyProtection="1">
      <alignment horizontal="left"/>
      <protection locked="0"/>
    </xf>
    <xf numFmtId="0" fontId="0" fillId="0" borderId="0" xfId="0" applyProtection="1">
      <protection locked="0"/>
    </xf>
    <xf numFmtId="2" fontId="0" fillId="0" borderId="7" xfId="0" applyNumberFormat="1" applyBorder="1" applyAlignment="1" applyProtection="1">
      <alignment horizontal="left"/>
      <protection locked="0"/>
    </xf>
    <xf numFmtId="2" fontId="0" fillId="0" borderId="5" xfId="0" applyNumberFormat="1" applyBorder="1" applyAlignment="1" applyProtection="1">
      <alignment horizontal="left"/>
      <protection locked="0"/>
    </xf>
    <xf numFmtId="1" fontId="0" fillId="0" borderId="6" xfId="0" applyNumberFormat="1" applyBorder="1" applyAlignment="1" applyProtection="1">
      <alignment horizontal="left"/>
      <protection locked="0"/>
    </xf>
    <xf numFmtId="177" fontId="0" fillId="0" borderId="7" xfId="0" applyNumberFormat="1" applyBorder="1" applyAlignment="1" applyProtection="1">
      <alignment horizontal="center"/>
      <protection locked="0"/>
    </xf>
    <xf numFmtId="183" fontId="0" fillId="0" borderId="6" xfId="0" applyNumberFormat="1" applyBorder="1" applyAlignment="1" applyProtection="1">
      <alignment horizontal="center"/>
      <protection locked="0"/>
    </xf>
    <xf numFmtId="2" fontId="0" fillId="0" borderId="4" xfId="0" applyNumberFormat="1" applyBorder="1" applyAlignment="1" applyProtection="1">
      <alignment horizontal="left"/>
      <protection locked="0"/>
    </xf>
    <xf numFmtId="2" fontId="0" fillId="0" borderId="7" xfId="0" applyNumberFormat="1" applyBorder="1" applyAlignment="1" applyProtection="1">
      <alignment horizontal="center"/>
      <protection locked="0"/>
    </xf>
    <xf numFmtId="2" fontId="0" fillId="0" borderId="5" xfId="0" applyNumberFormat="1" applyBorder="1" applyAlignment="1" applyProtection="1">
      <alignment horizontal="center"/>
      <protection locked="0"/>
    </xf>
    <xf numFmtId="172" fontId="0" fillId="0" borderId="6" xfId="0" applyNumberFormat="1" applyBorder="1" applyAlignment="1" applyProtection="1">
      <alignment horizontal="center"/>
      <protection locked="0"/>
    </xf>
    <xf numFmtId="0" fontId="4" fillId="0" borderId="0" xfId="0" applyFont="1" applyAlignment="1" applyProtection="1">
      <alignment horizontal="left"/>
      <protection locked="0"/>
    </xf>
    <xf numFmtId="0" fontId="5" fillId="0" borderId="0"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Fill="1" applyBorder="1" applyAlignment="1" applyProtection="1">
      <alignment horizontal="center"/>
      <protection locked="0"/>
    </xf>
    <xf numFmtId="0" fontId="14" fillId="0" borderId="0" xfId="0" applyFont="1" applyAlignment="1" applyProtection="1">
      <alignment horizontal="center"/>
      <protection locked="0"/>
    </xf>
    <xf numFmtId="0" fontId="4" fillId="0" borderId="0" xfId="0" applyFont="1" applyBorder="1" applyAlignment="1" applyProtection="1">
      <alignment horizontal="center"/>
      <protection locked="0"/>
    </xf>
    <xf numFmtId="0" fontId="4" fillId="0" borderId="0" xfId="0" applyFont="1" applyProtection="1">
      <protection locked="0"/>
    </xf>
    <xf numFmtId="177" fontId="4" fillId="0" borderId="0" xfId="0" applyNumberFormat="1" applyFont="1" applyBorder="1" applyAlignment="1" applyProtection="1">
      <alignment horizontal="center"/>
      <protection locked="0"/>
    </xf>
    <xf numFmtId="0" fontId="4" fillId="0" borderId="0" xfId="0" applyFont="1" applyFill="1" applyBorder="1" applyProtection="1">
      <protection locked="0"/>
    </xf>
    <xf numFmtId="0" fontId="4" fillId="0" borderId="0" xfId="0" applyFont="1" applyAlignment="1" applyProtection="1">
      <alignment horizontal="center"/>
      <protection locked="0"/>
    </xf>
    <xf numFmtId="0" fontId="17" fillId="0" borderId="0" xfId="0" applyFont="1" applyAlignment="1">
      <alignment horizontal="right"/>
    </xf>
    <xf numFmtId="172" fontId="5" fillId="0" borderId="0" xfId="0" applyNumberFormat="1" applyFont="1" applyFill="1" applyBorder="1" applyAlignment="1">
      <alignment horizontal="right"/>
    </xf>
    <xf numFmtId="1" fontId="4" fillId="0" borderId="0" xfId="0" applyNumberFormat="1" applyFont="1" applyBorder="1" applyAlignment="1">
      <alignment horizontal="left"/>
    </xf>
    <xf numFmtId="0" fontId="18" fillId="0" borderId="0" xfId="0" applyFont="1"/>
    <xf numFmtId="172" fontId="11" fillId="0" borderId="0" xfId="0" applyNumberFormat="1" applyFont="1" applyAlignment="1">
      <alignment horizontal="left"/>
    </xf>
    <xf numFmtId="0" fontId="11" fillId="0" borderId="0" xfId="0" applyFont="1"/>
    <xf numFmtId="0" fontId="11" fillId="0" borderId="0" xfId="0" applyFont="1" applyAlignment="1">
      <alignment horizontal="left"/>
    </xf>
    <xf numFmtId="172" fontId="5" fillId="0" borderId="6" xfId="0" applyNumberFormat="1" applyFont="1" applyFill="1" applyBorder="1" applyAlignment="1" applyProtection="1">
      <alignment horizontal="left"/>
      <protection locked="0"/>
    </xf>
    <xf numFmtId="15" fontId="0" fillId="0" borderId="0" xfId="0" applyNumberFormat="1" applyBorder="1"/>
    <xf numFmtId="0" fontId="0" fillId="0" borderId="0" xfId="0" applyBorder="1" applyProtection="1">
      <protection locked="0"/>
    </xf>
    <xf numFmtId="0" fontId="4" fillId="0" borderId="0" xfId="0" applyFont="1" applyBorder="1" applyAlignment="1">
      <alignment horizontal="right"/>
    </xf>
    <xf numFmtId="0" fontId="0" fillId="0" borderId="0" xfId="0" applyBorder="1" applyAlignment="1">
      <alignment horizontal="right"/>
    </xf>
    <xf numFmtId="0" fontId="5" fillId="0" borderId="0" xfId="0" applyFont="1" applyBorder="1" applyAlignment="1">
      <alignment horizontal="right"/>
    </xf>
    <xf numFmtId="0" fontId="0" fillId="0" borderId="0" xfId="0" applyBorder="1" applyAlignment="1">
      <alignment horizontal="left"/>
    </xf>
    <xf numFmtId="0" fontId="5" fillId="0" borderId="0" xfId="0" applyFont="1" applyBorder="1" applyAlignment="1">
      <alignment horizontal="left"/>
    </xf>
    <xf numFmtId="0" fontId="17" fillId="0" borderId="0" xfId="0" applyFont="1" applyBorder="1" applyAlignment="1">
      <alignment horizontal="right"/>
    </xf>
    <xf numFmtId="0" fontId="6" fillId="0" borderId="0" xfId="0" applyFont="1" applyFill="1" applyBorder="1" applyAlignment="1">
      <alignment horizontal="left"/>
    </xf>
    <xf numFmtId="0" fontId="2" fillId="0" borderId="0" xfId="0" applyFont="1" applyFill="1" applyBorder="1" applyAlignment="1">
      <alignment horizontal="left"/>
    </xf>
    <xf numFmtId="0" fontId="6" fillId="0" borderId="0" xfId="0" applyFont="1" applyFill="1" applyBorder="1"/>
    <xf numFmtId="1" fontId="14" fillId="0" borderId="0" xfId="0" applyNumberFormat="1" applyFont="1" applyAlignment="1">
      <alignment horizontal="left"/>
    </xf>
    <xf numFmtId="0" fontId="0" fillId="0" borderId="7" xfId="0" applyBorder="1"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14" fillId="0" borderId="0" xfId="0" applyFont="1" applyAlignment="1">
      <alignment horizontal="left"/>
    </xf>
    <xf numFmtId="183" fontId="0" fillId="0" borderId="0" xfId="0" applyNumberFormat="1" applyAlignment="1">
      <alignment horizontal="left"/>
    </xf>
    <xf numFmtId="0" fontId="21" fillId="0" borderId="0" xfId="0" applyFont="1" applyAlignment="1">
      <alignment horizontal="left"/>
    </xf>
    <xf numFmtId="2" fontId="14" fillId="0" borderId="0" xfId="0" applyNumberFormat="1" applyFont="1" applyAlignment="1">
      <alignment horizontal="left"/>
    </xf>
    <xf numFmtId="0" fontId="22" fillId="0" borderId="0" xfId="0" applyFont="1" applyAlignment="1">
      <alignment horizontal="center"/>
    </xf>
    <xf numFmtId="174" fontId="0" fillId="0" borderId="0" xfId="0" applyNumberFormat="1" applyAlignment="1">
      <alignment horizontal="left"/>
    </xf>
    <xf numFmtId="0" fontId="23" fillId="0" borderId="0" xfId="0" applyFont="1" applyAlignment="1">
      <alignment horizontal="left"/>
    </xf>
    <xf numFmtId="0" fontId="23" fillId="0" borderId="0" xfId="0" applyFont="1"/>
    <xf numFmtId="0" fontId="19" fillId="0" borderId="0" xfId="0" applyFont="1" applyAlignment="1">
      <alignment horizontal="left"/>
    </xf>
    <xf numFmtId="1" fontId="19" fillId="0" borderId="0" xfId="0" applyNumberFormat="1" applyFont="1" applyAlignment="1">
      <alignment horizontal="center"/>
    </xf>
    <xf numFmtId="0" fontId="19" fillId="0" borderId="0" xfId="0" applyFont="1"/>
    <xf numFmtId="2" fontId="5" fillId="0" borderId="0" xfId="0" applyNumberFormat="1" applyFont="1" applyAlignment="1">
      <alignment horizontal="left"/>
    </xf>
    <xf numFmtId="0" fontId="23" fillId="0" borderId="0" xfId="0" applyFont="1" applyAlignment="1">
      <alignment horizontal="right"/>
    </xf>
    <xf numFmtId="2" fontId="19" fillId="0" borderId="0" xfId="0" applyNumberFormat="1" applyFont="1" applyAlignment="1">
      <alignment horizontal="left"/>
    </xf>
    <xf numFmtId="0" fontId="19" fillId="0" borderId="0" xfId="0" applyFont="1" applyAlignment="1">
      <alignment horizontal="right"/>
    </xf>
    <xf numFmtId="0" fontId="19" fillId="0" borderId="7" xfId="0" applyFont="1" applyBorder="1" applyAlignment="1">
      <alignment horizontal="left"/>
    </xf>
    <xf numFmtId="0" fontId="19" fillId="0" borderId="6" xfId="0" applyFont="1" applyBorder="1" applyAlignment="1">
      <alignment horizontal="left"/>
    </xf>
    <xf numFmtId="0" fontId="20" fillId="0" borderId="0" xfId="0" applyFont="1"/>
    <xf numFmtId="174" fontId="19" fillId="0" borderId="0" xfId="0" applyNumberFormat="1" applyFont="1" applyAlignment="1">
      <alignment horizontal="center"/>
    </xf>
    <xf numFmtId="0" fontId="24" fillId="0" borderId="0" xfId="0" applyFont="1" applyProtection="1">
      <protection locked="0"/>
    </xf>
    <xf numFmtId="0" fontId="24" fillId="0" borderId="0" xfId="0" applyFont="1" applyBorder="1"/>
    <xf numFmtId="0" fontId="19" fillId="0" borderId="5" xfId="0" applyFont="1" applyBorder="1" applyAlignment="1">
      <alignment horizontal="left"/>
    </xf>
    <xf numFmtId="174" fontId="5" fillId="0" borderId="5" xfId="0" applyNumberFormat="1" applyFont="1" applyBorder="1" applyAlignment="1">
      <alignment horizontal="left"/>
    </xf>
    <xf numFmtId="2" fontId="19" fillId="0" borderId="5" xfId="0" applyNumberFormat="1" applyFont="1" applyBorder="1" applyAlignment="1" applyProtection="1">
      <alignment horizontal="left"/>
      <protection locked="0"/>
    </xf>
    <xf numFmtId="172" fontId="19" fillId="4" borderId="5" xfId="0" applyNumberFormat="1" applyFont="1" applyFill="1" applyBorder="1" applyAlignment="1">
      <alignment horizontal="left"/>
    </xf>
    <xf numFmtId="0" fontId="19" fillId="0" borderId="0" xfId="0" applyFont="1" applyBorder="1"/>
    <xf numFmtId="0" fontId="24" fillId="0" borderId="0" xfId="0" applyFont="1" applyBorder="1" applyProtection="1">
      <protection locked="0"/>
    </xf>
    <xf numFmtId="172" fontId="19" fillId="0" borderId="6" xfId="0" applyNumberFormat="1" applyFont="1" applyBorder="1" applyAlignment="1">
      <alignment horizontal="left"/>
    </xf>
    <xf numFmtId="0" fontId="24" fillId="0" borderId="0" xfId="0" applyFont="1"/>
    <xf numFmtId="1" fontId="20" fillId="0" borderId="0" xfId="0" applyNumberFormat="1" applyFont="1" applyAlignment="1">
      <alignment horizontal="left"/>
    </xf>
    <xf numFmtId="0" fontId="20" fillId="0" borderId="0" xfId="0" applyFont="1" applyAlignment="1">
      <alignment horizontal="right"/>
    </xf>
    <xf numFmtId="177" fontId="20" fillId="0" borderId="0" xfId="0" applyNumberFormat="1" applyFont="1" applyAlignment="1">
      <alignment horizontal="left"/>
    </xf>
    <xf numFmtId="0" fontId="20" fillId="0" borderId="0" xfId="0" applyFont="1" applyAlignment="1">
      <alignment horizontal="left"/>
    </xf>
    <xf numFmtId="0" fontId="20" fillId="0" borderId="0" xfId="0" applyFont="1" applyProtection="1">
      <protection locked="0"/>
    </xf>
    <xf numFmtId="1" fontId="20" fillId="4" borderId="4" xfId="0" applyNumberFormat="1" applyFont="1" applyFill="1" applyBorder="1" applyAlignment="1" applyProtection="1">
      <alignment horizontal="left"/>
      <protection locked="0"/>
    </xf>
    <xf numFmtId="172" fontId="20" fillId="0" borderId="0" xfId="0" applyNumberFormat="1" applyFont="1" applyAlignment="1">
      <alignment horizontal="left"/>
    </xf>
    <xf numFmtId="0" fontId="0" fillId="0" borderId="4" xfId="0" applyBorder="1" applyAlignment="1" applyProtection="1">
      <alignment horizontal="left"/>
      <protection locked="0"/>
    </xf>
    <xf numFmtId="0" fontId="0" fillId="3" borderId="0" xfId="0" applyFill="1" applyAlignment="1">
      <alignment horizontal="left"/>
    </xf>
    <xf numFmtId="0" fontId="19" fillId="0" borderId="7" xfId="0" applyFont="1" applyBorder="1" applyAlignment="1" applyProtection="1">
      <alignment horizontal="left"/>
      <protection locked="0"/>
    </xf>
    <xf numFmtId="0" fontId="19" fillId="0" borderId="6" xfId="0" applyFont="1" applyBorder="1" applyAlignment="1" applyProtection="1">
      <alignment horizontal="left"/>
      <protection locked="0"/>
    </xf>
    <xf numFmtId="0" fontId="19" fillId="0" borderId="5" xfId="0" applyFont="1" applyBorder="1" applyAlignment="1" applyProtection="1">
      <alignment horizontal="left"/>
      <protection locked="0"/>
    </xf>
    <xf numFmtId="174" fontId="5" fillId="0" borderId="5" xfId="0" applyNumberFormat="1" applyFont="1" applyBorder="1" applyAlignment="1" applyProtection="1">
      <alignment horizontal="left"/>
      <protection locked="0"/>
    </xf>
    <xf numFmtId="172" fontId="19" fillId="4" borderId="5" xfId="0" applyNumberFormat="1" applyFont="1" applyFill="1" applyBorder="1" applyAlignment="1" applyProtection="1">
      <alignment horizontal="left"/>
      <protection locked="0"/>
    </xf>
    <xf numFmtId="172" fontId="19" fillId="0" borderId="6" xfId="0" applyNumberFormat="1" applyFont="1" applyBorder="1" applyAlignment="1" applyProtection="1">
      <alignment horizontal="left"/>
      <protection locked="0"/>
    </xf>
    <xf numFmtId="15" fontId="0" fillId="0" borderId="0" xfId="0" applyNumberFormat="1" applyProtection="1">
      <protection locked="0"/>
    </xf>
    <xf numFmtId="2" fontId="0" fillId="0" borderId="0" xfId="0" applyNumberFormat="1" applyAlignment="1" applyProtection="1">
      <alignment horizontal="center"/>
      <protection locked="0"/>
    </xf>
    <xf numFmtId="2" fontId="4" fillId="0" borderId="0" xfId="0" applyNumberFormat="1" applyFont="1" applyAlignment="1" applyProtection="1">
      <alignment horizontal="left"/>
      <protection locked="0"/>
    </xf>
    <xf numFmtId="2" fontId="0" fillId="0" borderId="7" xfId="0" applyNumberFormat="1" applyBorder="1" applyAlignment="1" applyProtection="1">
      <alignment horizontal="left"/>
    </xf>
    <xf numFmtId="2" fontId="0" fillId="0" borderId="6" xfId="0" applyNumberFormat="1" applyBorder="1" applyAlignment="1" applyProtection="1">
      <alignment horizontal="left"/>
    </xf>
    <xf numFmtId="1" fontId="20" fillId="4" borderId="4" xfId="0" applyNumberFormat="1" applyFont="1" applyFill="1" applyBorder="1" applyAlignment="1" applyProtection="1">
      <alignment horizontal="left"/>
    </xf>
    <xf numFmtId="0" fontId="1"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4.jpeg"/><Relationship Id="rId3" Type="http://schemas.openxmlformats.org/officeDocument/2006/relationships/image" Target="../media/image9.jpeg"/><Relationship Id="rId7" Type="http://schemas.openxmlformats.org/officeDocument/2006/relationships/image" Target="../media/image13.jpeg"/><Relationship Id="rId2" Type="http://schemas.openxmlformats.org/officeDocument/2006/relationships/image" Target="../media/image8.jpeg"/><Relationship Id="rId1" Type="http://schemas.openxmlformats.org/officeDocument/2006/relationships/image" Target="../media/image7.jpeg"/><Relationship Id="rId6" Type="http://schemas.openxmlformats.org/officeDocument/2006/relationships/image" Target="../media/image12.jpeg"/><Relationship Id="rId5" Type="http://schemas.openxmlformats.org/officeDocument/2006/relationships/image" Target="../media/image11.jpeg"/><Relationship Id="rId10" Type="http://schemas.openxmlformats.org/officeDocument/2006/relationships/image" Target="../media/image16.jpeg"/><Relationship Id="rId4" Type="http://schemas.openxmlformats.org/officeDocument/2006/relationships/image" Target="../media/image10.jpeg"/><Relationship Id="rId9"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0.jpeg"/><Relationship Id="rId1" Type="http://schemas.openxmlformats.org/officeDocument/2006/relationships/image" Target="../media/image2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11.jpeg"/><Relationship Id="rId1" Type="http://schemas.openxmlformats.org/officeDocument/2006/relationships/image" Target="../media/image23.jpeg"/><Relationship Id="rId5" Type="http://schemas.openxmlformats.org/officeDocument/2006/relationships/image" Target="../media/image26.jpeg"/><Relationship Id="rId4"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editAs="oneCell">
    <xdr:from>
      <xdr:col>0</xdr:col>
      <xdr:colOff>1104900</xdr:colOff>
      <xdr:row>43</xdr:row>
      <xdr:rowOff>85725</xdr:rowOff>
    </xdr:from>
    <xdr:to>
      <xdr:col>3</xdr:col>
      <xdr:colOff>466725</xdr:colOff>
      <xdr:row>53</xdr:row>
      <xdr:rowOff>133350</xdr:rowOff>
    </xdr:to>
    <xdr:pic>
      <xdr:nvPicPr>
        <xdr:cNvPr id="4259" name="Picture 2" descr="BEAM-STRESS-ELEMENT-1"/>
        <xdr:cNvPicPr>
          <a:picLocks noChangeAspect="1" noChangeArrowheads="1"/>
        </xdr:cNvPicPr>
      </xdr:nvPicPr>
      <xdr:blipFill>
        <a:blip xmlns:r="http://schemas.openxmlformats.org/officeDocument/2006/relationships" r:embed="rId1" cstate="print"/>
        <a:srcRect/>
        <a:stretch>
          <a:fillRect/>
        </a:stretch>
      </xdr:blipFill>
      <xdr:spPr bwMode="auto">
        <a:xfrm>
          <a:off x="1104900" y="8858250"/>
          <a:ext cx="3629025" cy="2000250"/>
        </a:xfrm>
        <a:prstGeom prst="rect">
          <a:avLst/>
        </a:prstGeom>
        <a:noFill/>
        <a:ln w="9525">
          <a:noFill/>
          <a:miter lim="800000"/>
          <a:headEnd/>
          <a:tailEnd/>
        </a:ln>
      </xdr:spPr>
    </xdr:pic>
    <xdr:clientData/>
  </xdr:twoCellAnchor>
  <xdr:twoCellAnchor editAs="oneCell">
    <xdr:from>
      <xdr:col>0</xdr:col>
      <xdr:colOff>2371725</xdr:colOff>
      <xdr:row>56</xdr:row>
      <xdr:rowOff>95250</xdr:rowOff>
    </xdr:from>
    <xdr:to>
      <xdr:col>4</xdr:col>
      <xdr:colOff>533400</xdr:colOff>
      <xdr:row>65</xdr:row>
      <xdr:rowOff>104775</xdr:rowOff>
    </xdr:to>
    <xdr:pic>
      <xdr:nvPicPr>
        <xdr:cNvPr id="4260" name="Picture 9" descr="BEAM-STRESS-ELEMENT-3"/>
        <xdr:cNvPicPr>
          <a:picLocks noChangeAspect="1" noChangeArrowheads="1"/>
        </xdr:cNvPicPr>
      </xdr:nvPicPr>
      <xdr:blipFill>
        <a:blip xmlns:r="http://schemas.openxmlformats.org/officeDocument/2006/relationships" r:embed="rId2" cstate="print"/>
        <a:srcRect/>
        <a:stretch>
          <a:fillRect/>
        </a:stretch>
      </xdr:blipFill>
      <xdr:spPr bwMode="auto">
        <a:xfrm>
          <a:off x="2371725" y="11420475"/>
          <a:ext cx="3324225" cy="1752600"/>
        </a:xfrm>
        <a:prstGeom prst="rect">
          <a:avLst/>
        </a:prstGeom>
        <a:noFill/>
        <a:ln w="9525">
          <a:noFill/>
          <a:miter lim="800000"/>
          <a:headEnd/>
          <a:tailEnd/>
        </a:ln>
      </xdr:spPr>
    </xdr:pic>
    <xdr:clientData/>
  </xdr:twoCellAnchor>
  <xdr:twoCellAnchor editAs="oneCell">
    <xdr:from>
      <xdr:col>0</xdr:col>
      <xdr:colOff>47625</xdr:colOff>
      <xdr:row>56</xdr:row>
      <xdr:rowOff>47625</xdr:rowOff>
    </xdr:from>
    <xdr:to>
      <xdr:col>0</xdr:col>
      <xdr:colOff>2266950</xdr:colOff>
      <xdr:row>66</xdr:row>
      <xdr:rowOff>152400</xdr:rowOff>
    </xdr:to>
    <xdr:pic>
      <xdr:nvPicPr>
        <xdr:cNvPr id="4261" name="Picture 10" descr="BEAM-STRESS-ELEMENT-2"/>
        <xdr:cNvPicPr>
          <a:picLocks noChangeAspect="1" noChangeArrowheads="1"/>
        </xdr:cNvPicPr>
      </xdr:nvPicPr>
      <xdr:blipFill>
        <a:blip xmlns:r="http://schemas.openxmlformats.org/officeDocument/2006/relationships" r:embed="rId3" cstate="print"/>
        <a:srcRect/>
        <a:stretch>
          <a:fillRect/>
        </a:stretch>
      </xdr:blipFill>
      <xdr:spPr bwMode="auto">
        <a:xfrm>
          <a:off x="47625" y="11372850"/>
          <a:ext cx="2219325" cy="2038350"/>
        </a:xfrm>
        <a:prstGeom prst="rect">
          <a:avLst/>
        </a:prstGeom>
        <a:noFill/>
        <a:ln w="9525">
          <a:noFill/>
          <a:miter lim="800000"/>
          <a:headEnd/>
          <a:tailEnd/>
        </a:ln>
      </xdr:spPr>
    </xdr:pic>
    <xdr:clientData/>
  </xdr:twoCellAnchor>
  <xdr:twoCellAnchor editAs="oneCell">
    <xdr:from>
      <xdr:col>0</xdr:col>
      <xdr:colOff>495300</xdr:colOff>
      <xdr:row>152</xdr:row>
      <xdr:rowOff>66675</xdr:rowOff>
    </xdr:from>
    <xdr:to>
      <xdr:col>4</xdr:col>
      <xdr:colOff>219075</xdr:colOff>
      <xdr:row>168</xdr:row>
      <xdr:rowOff>142875</xdr:rowOff>
    </xdr:to>
    <xdr:pic>
      <xdr:nvPicPr>
        <xdr:cNvPr id="4262" name="Picture 11" descr="VON-MISES-ENERGY-1"/>
        <xdr:cNvPicPr>
          <a:picLocks noChangeAspect="1" noChangeArrowheads="1"/>
        </xdr:cNvPicPr>
      </xdr:nvPicPr>
      <xdr:blipFill>
        <a:blip xmlns:r="http://schemas.openxmlformats.org/officeDocument/2006/relationships" r:embed="rId4" cstate="print"/>
        <a:srcRect/>
        <a:stretch>
          <a:fillRect/>
        </a:stretch>
      </xdr:blipFill>
      <xdr:spPr bwMode="auto">
        <a:xfrm>
          <a:off x="495300" y="30175200"/>
          <a:ext cx="4886325" cy="3124200"/>
        </a:xfrm>
        <a:prstGeom prst="rect">
          <a:avLst/>
        </a:prstGeom>
        <a:noFill/>
        <a:ln w="9525">
          <a:noFill/>
          <a:miter lim="800000"/>
          <a:headEnd/>
          <a:tailEnd/>
        </a:ln>
      </xdr:spPr>
    </xdr:pic>
    <xdr:clientData/>
  </xdr:twoCellAnchor>
  <xdr:twoCellAnchor editAs="oneCell">
    <xdr:from>
      <xdr:col>0</xdr:col>
      <xdr:colOff>1895475</xdr:colOff>
      <xdr:row>232</xdr:row>
      <xdr:rowOff>47625</xdr:rowOff>
    </xdr:from>
    <xdr:to>
      <xdr:col>4</xdr:col>
      <xdr:colOff>85725</xdr:colOff>
      <xdr:row>239</xdr:row>
      <xdr:rowOff>28575</xdr:rowOff>
    </xdr:to>
    <xdr:pic>
      <xdr:nvPicPr>
        <xdr:cNvPr id="4263" name="Picture 17" descr="MOORE-TENSION"/>
        <xdr:cNvPicPr>
          <a:picLocks noChangeAspect="1" noChangeArrowheads="1"/>
        </xdr:cNvPicPr>
      </xdr:nvPicPr>
      <xdr:blipFill>
        <a:blip xmlns:r="http://schemas.openxmlformats.org/officeDocument/2006/relationships" r:embed="rId5" cstate="print"/>
        <a:srcRect/>
        <a:stretch>
          <a:fillRect/>
        </a:stretch>
      </xdr:blipFill>
      <xdr:spPr bwMode="auto">
        <a:xfrm>
          <a:off x="1895475" y="45758100"/>
          <a:ext cx="3352800" cy="1314450"/>
        </a:xfrm>
        <a:prstGeom prst="rect">
          <a:avLst/>
        </a:prstGeom>
        <a:noFill/>
        <a:ln w="9525">
          <a:noFill/>
          <a:miter lim="800000"/>
          <a:headEnd/>
          <a:tailEnd/>
        </a:ln>
      </xdr:spPr>
    </xdr:pic>
    <xdr:clientData/>
  </xdr:twoCellAnchor>
  <xdr:twoCellAnchor editAs="oneCell">
    <xdr:from>
      <xdr:col>0</xdr:col>
      <xdr:colOff>2124075</xdr:colOff>
      <xdr:row>212</xdr:row>
      <xdr:rowOff>161925</xdr:rowOff>
    </xdr:from>
    <xdr:to>
      <xdr:col>4</xdr:col>
      <xdr:colOff>180975</xdr:colOff>
      <xdr:row>219</xdr:row>
      <xdr:rowOff>161925</xdr:rowOff>
    </xdr:to>
    <xdr:pic>
      <xdr:nvPicPr>
        <xdr:cNvPr id="4264" name="Picture 18" descr="MOORE-SHEAR"/>
        <xdr:cNvPicPr>
          <a:picLocks noChangeAspect="1" noChangeArrowheads="1"/>
        </xdr:cNvPicPr>
      </xdr:nvPicPr>
      <xdr:blipFill>
        <a:blip xmlns:r="http://schemas.openxmlformats.org/officeDocument/2006/relationships" r:embed="rId6" cstate="print"/>
        <a:srcRect/>
        <a:stretch>
          <a:fillRect/>
        </a:stretch>
      </xdr:blipFill>
      <xdr:spPr bwMode="auto">
        <a:xfrm>
          <a:off x="2124075" y="42005250"/>
          <a:ext cx="3219450" cy="1333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828675</xdr:colOff>
      <xdr:row>1</xdr:row>
      <xdr:rowOff>28575</xdr:rowOff>
    </xdr:from>
    <xdr:to>
      <xdr:col>3</xdr:col>
      <xdr:colOff>361950</xdr:colOff>
      <xdr:row>18</xdr:row>
      <xdr:rowOff>57150</xdr:rowOff>
    </xdr:to>
    <xdr:pic>
      <xdr:nvPicPr>
        <xdr:cNvPr id="1545" name="Picture 1" descr="COMET-1"/>
        <xdr:cNvPicPr>
          <a:picLocks noChangeAspect="1" noChangeArrowheads="1"/>
        </xdr:cNvPicPr>
      </xdr:nvPicPr>
      <xdr:blipFill>
        <a:blip xmlns:r="http://schemas.openxmlformats.org/officeDocument/2006/relationships" r:embed="rId1" cstate="print"/>
        <a:srcRect/>
        <a:stretch>
          <a:fillRect/>
        </a:stretch>
      </xdr:blipFill>
      <xdr:spPr bwMode="auto">
        <a:xfrm>
          <a:off x="828675" y="228600"/>
          <a:ext cx="4772025" cy="2781300"/>
        </a:xfrm>
        <a:prstGeom prst="rect">
          <a:avLst/>
        </a:prstGeom>
        <a:noFill/>
        <a:ln w="9525">
          <a:noFill/>
          <a:miter lim="800000"/>
          <a:headEnd/>
          <a:tailEnd/>
        </a:ln>
      </xdr:spPr>
    </xdr:pic>
    <xdr:clientData/>
  </xdr:twoCellAnchor>
  <xdr:twoCellAnchor>
    <xdr:from>
      <xdr:col>0</xdr:col>
      <xdr:colOff>104775</xdr:colOff>
      <xdr:row>18</xdr:row>
      <xdr:rowOff>76200</xdr:rowOff>
    </xdr:from>
    <xdr:to>
      <xdr:col>3</xdr:col>
      <xdr:colOff>485775</xdr:colOff>
      <xdr:row>28</xdr:row>
      <xdr:rowOff>152400</xdr:rowOff>
    </xdr:to>
    <xdr:sp macro="" textlink="">
      <xdr:nvSpPr>
        <xdr:cNvPr id="1026" name="Text Box 2"/>
        <xdr:cNvSpPr txBox="1">
          <a:spLocks noChangeArrowheads="1"/>
        </xdr:cNvSpPr>
      </xdr:nvSpPr>
      <xdr:spPr bwMode="auto">
        <a:xfrm>
          <a:off x="104775" y="3028950"/>
          <a:ext cx="5619750" cy="1695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000"/>
            </a:lnSpc>
            <a:defRPr sz="1000"/>
          </a:pPr>
          <a:r>
            <a:rPr lang="en-US" sz="1000" b="1" i="0" u="none" strike="noStrike" baseline="0">
              <a:solidFill>
                <a:srgbClr val="000000"/>
              </a:solidFill>
              <a:latin typeface="Arial"/>
              <a:cs typeface="Arial"/>
            </a:rPr>
            <a:t>de Havilland Comet</a:t>
          </a:r>
          <a:endParaRPr lang="en-US" sz="1000" b="0" i="0" u="none" strike="noStrike" baseline="0">
            <a:solidFill>
              <a:srgbClr val="000000"/>
            </a:solidFill>
            <a:latin typeface="Arial"/>
            <a:cs typeface="Arial"/>
          </a:endParaRPr>
        </a:p>
        <a:p>
          <a:pPr algn="l" rtl="0">
            <a:lnSpc>
              <a:spcPts val="1000"/>
            </a:lnSpc>
            <a:defRPr sz="1000"/>
          </a:pPr>
          <a:r>
            <a:rPr lang="en-US" sz="1000" b="0" i="0" u="none" strike="noStrike" baseline="0">
              <a:solidFill>
                <a:srgbClr val="000000"/>
              </a:solidFill>
              <a:latin typeface="Arial"/>
              <a:cs typeface="Arial"/>
            </a:rPr>
            <a:t>The British, de Havilland D.H.106 Comet airliner built in 1949, used four de Havilland Ghost 50 turbojet engines mounted in the wings.</a:t>
          </a: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r>
            <a:rPr lang="en-US" sz="1000" b="0" i="0" u="none" strike="noStrike" baseline="0">
              <a:solidFill>
                <a:srgbClr val="000000"/>
              </a:solidFill>
              <a:latin typeface="Arial"/>
              <a:cs typeface="Arial"/>
            </a:rPr>
            <a:t>After 500 hours of flight testing, commercial operations began in early 1952. A Comet mysteriously crashed shortly after takeoff on 2 May 1953. Two similar crashes followed in early 1954.</a:t>
          </a: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r>
            <a:rPr lang="en-US" sz="1000" b="0" i="0" u="none" strike="noStrike" baseline="0">
              <a:solidFill>
                <a:srgbClr val="000000"/>
              </a:solidFill>
              <a:latin typeface="Arial"/>
              <a:cs typeface="Arial"/>
            </a:rPr>
            <a:t>After several thousand of cycles of repeatedly pressurizing and depressurizing the fuselage in water, fatigue cracks developed at the square corners in the cabin windows. These cracks grew over time until the cabin exploded.</a:t>
          </a: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r>
            <a:rPr lang="en-US" sz="1000" b="0" i="0" u="none" strike="noStrike" baseline="0">
              <a:solidFill>
                <a:srgbClr val="000000"/>
              </a:solidFill>
              <a:latin typeface="Arial"/>
              <a:cs typeface="Arial"/>
            </a:rPr>
            <a:t>The corners of all jet airliners are now rounded to reduce stress concentration.</a:t>
          </a:r>
        </a:p>
        <a:p>
          <a:pPr algn="l" rtl="0">
            <a:lnSpc>
              <a:spcPts val="1000"/>
            </a:lnSpc>
            <a:defRPr sz="1000"/>
          </a:pPr>
          <a:endParaRPr lang="en-US" sz="1000" b="0" i="0" u="none" strike="noStrike" baseline="0">
            <a:solidFill>
              <a:srgbClr val="000000"/>
            </a:solidFill>
            <a:latin typeface="Arial"/>
            <a:cs typeface="Arial"/>
          </a:endParaRPr>
        </a:p>
        <a:p>
          <a:pPr algn="l" rtl="0">
            <a:lnSpc>
              <a:spcPts val="900"/>
            </a:lnSpc>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533400</xdr:colOff>
      <xdr:row>29</xdr:row>
      <xdr:rowOff>28575</xdr:rowOff>
    </xdr:from>
    <xdr:to>
      <xdr:col>2</xdr:col>
      <xdr:colOff>904875</xdr:colOff>
      <xdr:row>36</xdr:row>
      <xdr:rowOff>0</xdr:rowOff>
    </xdr:to>
    <xdr:pic>
      <xdr:nvPicPr>
        <xdr:cNvPr id="1547" name="Picture 3" descr="COMET-2"/>
        <xdr:cNvPicPr>
          <a:picLocks noChangeAspect="1" noChangeArrowheads="1"/>
        </xdr:cNvPicPr>
      </xdr:nvPicPr>
      <xdr:blipFill>
        <a:blip xmlns:r="http://schemas.openxmlformats.org/officeDocument/2006/relationships" r:embed="rId2" cstate="print"/>
        <a:srcRect/>
        <a:stretch>
          <a:fillRect/>
        </a:stretch>
      </xdr:blipFill>
      <xdr:spPr bwMode="auto">
        <a:xfrm>
          <a:off x="533400" y="4762500"/>
          <a:ext cx="4638675" cy="1104900"/>
        </a:xfrm>
        <a:prstGeom prst="rect">
          <a:avLst/>
        </a:prstGeom>
        <a:noFill/>
        <a:ln w="9525">
          <a:noFill/>
          <a:miter lim="800000"/>
          <a:headEnd/>
          <a:tailEnd/>
        </a:ln>
      </xdr:spPr>
    </xdr:pic>
    <xdr:clientData/>
  </xdr:twoCellAnchor>
  <xdr:twoCellAnchor editAs="oneCell">
    <xdr:from>
      <xdr:col>0</xdr:col>
      <xdr:colOff>2057400</xdr:colOff>
      <xdr:row>36</xdr:row>
      <xdr:rowOff>47625</xdr:rowOff>
    </xdr:from>
    <xdr:to>
      <xdr:col>2</xdr:col>
      <xdr:colOff>257175</xdr:colOff>
      <xdr:row>43</xdr:row>
      <xdr:rowOff>104775</xdr:rowOff>
    </xdr:to>
    <xdr:pic>
      <xdr:nvPicPr>
        <xdr:cNvPr id="1548" name="Picture 4" descr="FATIGUE-TEST-PIECE"/>
        <xdr:cNvPicPr>
          <a:picLocks noChangeAspect="1" noChangeArrowheads="1"/>
        </xdr:cNvPicPr>
      </xdr:nvPicPr>
      <xdr:blipFill>
        <a:blip xmlns:r="http://schemas.openxmlformats.org/officeDocument/2006/relationships" r:embed="rId3" cstate="print"/>
        <a:srcRect/>
        <a:stretch>
          <a:fillRect/>
        </a:stretch>
      </xdr:blipFill>
      <xdr:spPr bwMode="auto">
        <a:xfrm>
          <a:off x="2057400" y="5915025"/>
          <a:ext cx="2466975" cy="1190625"/>
        </a:xfrm>
        <a:prstGeom prst="rect">
          <a:avLst/>
        </a:prstGeom>
        <a:noFill/>
        <a:ln w="9525">
          <a:noFill/>
          <a:miter lim="800000"/>
          <a:headEnd/>
          <a:tailEnd/>
        </a:ln>
      </xdr:spPr>
    </xdr:pic>
    <xdr:clientData/>
  </xdr:twoCellAnchor>
  <xdr:twoCellAnchor>
    <xdr:from>
      <xdr:col>0</xdr:col>
      <xdr:colOff>485775</xdr:colOff>
      <xdr:row>44</xdr:row>
      <xdr:rowOff>57150</xdr:rowOff>
    </xdr:from>
    <xdr:to>
      <xdr:col>3</xdr:col>
      <xdr:colOff>273044</xdr:colOff>
      <xdr:row>50</xdr:row>
      <xdr:rowOff>104775</xdr:rowOff>
    </xdr:to>
    <xdr:sp macro="" textlink="">
      <xdr:nvSpPr>
        <xdr:cNvPr id="1029" name="Text Box 5"/>
        <xdr:cNvSpPr txBox="1">
          <a:spLocks noChangeArrowheads="1"/>
        </xdr:cNvSpPr>
      </xdr:nvSpPr>
      <xdr:spPr bwMode="auto">
        <a:xfrm>
          <a:off x="485775" y="7219950"/>
          <a:ext cx="5029200" cy="1019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100"/>
            </a:lnSpc>
            <a:defRPr sz="1000"/>
          </a:pPr>
          <a:r>
            <a:rPr lang="en-US" sz="1000" b="1" i="0" u="none" strike="noStrike" baseline="0">
              <a:solidFill>
                <a:srgbClr val="000000"/>
              </a:solidFill>
              <a:latin typeface="Arial"/>
              <a:cs typeface="Arial"/>
            </a:rPr>
            <a:t>Typical Fatigue Test </a:t>
          </a:r>
          <a:endParaRPr lang="en-US" sz="1000" b="0" i="0" u="none" strike="noStrike" baseline="0">
            <a:solidFill>
              <a:srgbClr val="000000"/>
            </a:solidFill>
            <a:latin typeface="Arial"/>
            <a:cs typeface="Arial"/>
          </a:endParaRPr>
        </a:p>
        <a:p>
          <a:pPr algn="l" rtl="0">
            <a:lnSpc>
              <a:spcPts val="1000"/>
            </a:lnSpc>
            <a:defRPr sz="1000"/>
          </a:pPr>
          <a:r>
            <a:rPr lang="en-US" sz="1000" b="0" i="0" u="none" strike="noStrike" baseline="0">
              <a:solidFill>
                <a:srgbClr val="000000"/>
              </a:solidFill>
              <a:latin typeface="Arial"/>
              <a:cs typeface="Arial"/>
            </a:rPr>
            <a:t>A fatigue test piece is shown above. Each end is clamped in a rotating bending machine. The stress at all points, around the circumference of the necked down center, are subjected to time varying stress levels, from maximum tension to maximum compression. A few tests have been done by applying repeated cycles of axial tension and compression with no bending.</a:t>
          </a:r>
        </a:p>
      </xdr:txBody>
    </xdr:sp>
    <xdr:clientData/>
  </xdr:twoCellAnchor>
  <xdr:twoCellAnchor editAs="oneCell">
    <xdr:from>
      <xdr:col>0</xdr:col>
      <xdr:colOff>1285875</xdr:colOff>
      <xdr:row>51</xdr:row>
      <xdr:rowOff>142875</xdr:rowOff>
    </xdr:from>
    <xdr:to>
      <xdr:col>3</xdr:col>
      <xdr:colOff>247650</xdr:colOff>
      <xdr:row>65</xdr:row>
      <xdr:rowOff>123825</xdr:rowOff>
    </xdr:to>
    <xdr:pic>
      <xdr:nvPicPr>
        <xdr:cNvPr id="1550" name="Picture 7" descr="FATIGUE-TEST-PIECE-2"/>
        <xdr:cNvPicPr>
          <a:picLocks noChangeAspect="1" noChangeArrowheads="1"/>
        </xdr:cNvPicPr>
      </xdr:nvPicPr>
      <xdr:blipFill>
        <a:blip xmlns:r="http://schemas.openxmlformats.org/officeDocument/2006/relationships" r:embed="rId4" cstate="print"/>
        <a:srcRect/>
        <a:stretch>
          <a:fillRect/>
        </a:stretch>
      </xdr:blipFill>
      <xdr:spPr bwMode="auto">
        <a:xfrm>
          <a:off x="1285875" y="8439150"/>
          <a:ext cx="4200525" cy="2247900"/>
        </a:xfrm>
        <a:prstGeom prst="rect">
          <a:avLst/>
        </a:prstGeom>
        <a:noFill/>
        <a:ln w="9525">
          <a:noFill/>
          <a:miter lim="800000"/>
          <a:headEnd/>
          <a:tailEnd/>
        </a:ln>
      </xdr:spPr>
    </xdr:pic>
    <xdr:clientData/>
  </xdr:twoCellAnchor>
  <xdr:twoCellAnchor>
    <xdr:from>
      <xdr:col>0</xdr:col>
      <xdr:colOff>612775</xdr:colOff>
      <xdr:row>66</xdr:row>
      <xdr:rowOff>47625</xdr:rowOff>
    </xdr:from>
    <xdr:to>
      <xdr:col>3</xdr:col>
      <xdr:colOff>130149</xdr:colOff>
      <xdr:row>71</xdr:row>
      <xdr:rowOff>114300</xdr:rowOff>
    </xdr:to>
    <xdr:sp macro="" textlink="">
      <xdr:nvSpPr>
        <xdr:cNvPr id="1032" name="Text Box 8"/>
        <xdr:cNvSpPr txBox="1">
          <a:spLocks noChangeArrowheads="1"/>
        </xdr:cNvSpPr>
      </xdr:nvSpPr>
      <xdr:spPr bwMode="auto">
        <a:xfrm>
          <a:off x="609600" y="10772775"/>
          <a:ext cx="4762500" cy="876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000"/>
            </a:lnSpc>
            <a:defRPr sz="1000"/>
          </a:pPr>
          <a:r>
            <a:rPr lang="en-US" sz="1000" b="0" i="0" u="none" strike="noStrike" baseline="0">
              <a:solidFill>
                <a:srgbClr val="000000"/>
              </a:solidFill>
              <a:latin typeface="Arial"/>
              <a:cs typeface="Arial"/>
            </a:rPr>
            <a:t>Most fatigue testing has been done with metal that is round, small in diameter, and highly polished. They have been tested through many cycles until fatigue failure occurs. This is done at several stress levels and the results are plotted in a Stress vs. Number of Cycles (S-N) diagram. </a:t>
          </a:r>
          <a:r>
            <a:rPr lang="en-US" sz="1000" b="1" i="0" u="none" strike="noStrike" baseline="0">
              <a:solidFill>
                <a:srgbClr val="000000"/>
              </a:solidFill>
              <a:latin typeface="Arial"/>
              <a:cs typeface="Arial"/>
            </a:rPr>
            <a:t>Correction factors must be applied to parts that differ in size, section shape, surface finish, temperature, and static strength.</a:t>
          </a:r>
        </a:p>
      </xdr:txBody>
    </xdr:sp>
    <xdr:clientData/>
  </xdr:twoCellAnchor>
  <xdr:twoCellAnchor editAs="oneCell">
    <xdr:from>
      <xdr:col>0</xdr:col>
      <xdr:colOff>1685925</xdr:colOff>
      <xdr:row>72</xdr:row>
      <xdr:rowOff>0</xdr:rowOff>
    </xdr:from>
    <xdr:to>
      <xdr:col>2</xdr:col>
      <xdr:colOff>476250</xdr:colOff>
      <xdr:row>81</xdr:row>
      <xdr:rowOff>142875</xdr:rowOff>
    </xdr:to>
    <xdr:pic>
      <xdr:nvPicPr>
        <xdr:cNvPr id="1552" name="Picture 10" descr="S-N-CURVE-1-JA"/>
        <xdr:cNvPicPr>
          <a:picLocks noChangeAspect="1" noChangeArrowheads="1"/>
        </xdr:cNvPicPr>
      </xdr:nvPicPr>
      <xdr:blipFill>
        <a:blip xmlns:r="http://schemas.openxmlformats.org/officeDocument/2006/relationships" r:embed="rId5" cstate="print"/>
        <a:srcRect/>
        <a:stretch>
          <a:fillRect/>
        </a:stretch>
      </xdr:blipFill>
      <xdr:spPr bwMode="auto">
        <a:xfrm>
          <a:off x="1685925" y="11696700"/>
          <a:ext cx="3057525" cy="1600200"/>
        </a:xfrm>
        <a:prstGeom prst="rect">
          <a:avLst/>
        </a:prstGeom>
        <a:noFill/>
        <a:ln w="9525">
          <a:noFill/>
          <a:miter lim="800000"/>
          <a:headEnd/>
          <a:tailEnd/>
        </a:ln>
      </xdr:spPr>
    </xdr:pic>
    <xdr:clientData/>
  </xdr:twoCellAnchor>
  <xdr:twoCellAnchor editAs="oneCell">
    <xdr:from>
      <xdr:col>0</xdr:col>
      <xdr:colOff>1743075</xdr:colOff>
      <xdr:row>86</xdr:row>
      <xdr:rowOff>123825</xdr:rowOff>
    </xdr:from>
    <xdr:to>
      <xdr:col>2</xdr:col>
      <xdr:colOff>533400</xdr:colOff>
      <xdr:row>95</xdr:row>
      <xdr:rowOff>152400</xdr:rowOff>
    </xdr:to>
    <xdr:pic>
      <xdr:nvPicPr>
        <xdr:cNvPr id="1553" name="Picture 11" descr="S-N-CURVE-2-JA"/>
        <xdr:cNvPicPr>
          <a:picLocks noChangeAspect="1" noChangeArrowheads="1"/>
        </xdr:cNvPicPr>
      </xdr:nvPicPr>
      <xdr:blipFill>
        <a:blip xmlns:r="http://schemas.openxmlformats.org/officeDocument/2006/relationships" r:embed="rId6" cstate="print"/>
        <a:srcRect/>
        <a:stretch>
          <a:fillRect/>
        </a:stretch>
      </xdr:blipFill>
      <xdr:spPr bwMode="auto">
        <a:xfrm>
          <a:off x="1743075" y="14087475"/>
          <a:ext cx="3057525" cy="1485900"/>
        </a:xfrm>
        <a:prstGeom prst="rect">
          <a:avLst/>
        </a:prstGeom>
        <a:noFill/>
        <a:ln w="9525">
          <a:noFill/>
          <a:miter lim="800000"/>
          <a:headEnd/>
          <a:tailEnd/>
        </a:ln>
      </xdr:spPr>
    </xdr:pic>
    <xdr:clientData/>
  </xdr:twoCellAnchor>
  <xdr:twoCellAnchor editAs="oneCell">
    <xdr:from>
      <xdr:col>0</xdr:col>
      <xdr:colOff>1628775</xdr:colOff>
      <xdr:row>102</xdr:row>
      <xdr:rowOff>85725</xdr:rowOff>
    </xdr:from>
    <xdr:to>
      <xdr:col>2</xdr:col>
      <xdr:colOff>381000</xdr:colOff>
      <xdr:row>115</xdr:row>
      <xdr:rowOff>114300</xdr:rowOff>
    </xdr:to>
    <xdr:pic>
      <xdr:nvPicPr>
        <xdr:cNvPr id="1554" name="Picture 12" descr="S-N-CURVE-3-JA"/>
        <xdr:cNvPicPr>
          <a:picLocks noChangeAspect="1" noChangeArrowheads="1"/>
        </xdr:cNvPicPr>
      </xdr:nvPicPr>
      <xdr:blipFill>
        <a:blip xmlns:r="http://schemas.openxmlformats.org/officeDocument/2006/relationships" r:embed="rId7" cstate="print"/>
        <a:srcRect/>
        <a:stretch>
          <a:fillRect/>
        </a:stretch>
      </xdr:blipFill>
      <xdr:spPr bwMode="auto">
        <a:xfrm>
          <a:off x="1628775" y="16640175"/>
          <a:ext cx="3019425" cy="2133600"/>
        </a:xfrm>
        <a:prstGeom prst="rect">
          <a:avLst/>
        </a:prstGeom>
        <a:noFill/>
        <a:ln w="9525">
          <a:noFill/>
          <a:miter lim="800000"/>
          <a:headEnd/>
          <a:tailEnd/>
        </a:ln>
      </xdr:spPr>
    </xdr:pic>
    <xdr:clientData/>
  </xdr:twoCellAnchor>
  <xdr:twoCellAnchor>
    <xdr:from>
      <xdr:col>0</xdr:col>
      <xdr:colOff>838200</xdr:colOff>
      <xdr:row>82</xdr:row>
      <xdr:rowOff>85725</xdr:rowOff>
    </xdr:from>
    <xdr:to>
      <xdr:col>3</xdr:col>
      <xdr:colOff>250845</xdr:colOff>
      <xdr:row>85</xdr:row>
      <xdr:rowOff>85725</xdr:rowOff>
    </xdr:to>
    <xdr:sp macro="" textlink="">
      <xdr:nvSpPr>
        <xdr:cNvPr id="1037" name="Text Box 13"/>
        <xdr:cNvSpPr txBox="1">
          <a:spLocks noChangeArrowheads="1"/>
        </xdr:cNvSpPr>
      </xdr:nvSpPr>
      <xdr:spPr bwMode="auto">
        <a:xfrm>
          <a:off x="838200" y="13401675"/>
          <a:ext cx="4648200" cy="4857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Reversed Stress Cycles  </a:t>
          </a:r>
        </a:p>
        <a:p>
          <a:pPr algn="l" rtl="0">
            <a:defRPr sz="1000"/>
          </a:pPr>
          <a:r>
            <a:rPr lang="en-US" sz="1000" b="0" i="0" u="none" strike="noStrike" baseline="0">
              <a:solidFill>
                <a:srgbClr val="000000"/>
              </a:solidFill>
              <a:latin typeface="Arial"/>
              <a:cs typeface="Arial"/>
            </a:rPr>
            <a:t>The rotating fatigue test stress varies from maximum tension (Smax) to maximum compression (Smax) as shown in the diagram above. </a:t>
          </a:r>
        </a:p>
      </xdr:txBody>
    </xdr:sp>
    <xdr:clientData/>
  </xdr:twoCellAnchor>
  <xdr:twoCellAnchor>
    <xdr:from>
      <xdr:col>0</xdr:col>
      <xdr:colOff>1685925</xdr:colOff>
      <xdr:row>98</xdr:row>
      <xdr:rowOff>28575</xdr:rowOff>
    </xdr:from>
    <xdr:to>
      <xdr:col>2</xdr:col>
      <xdr:colOff>419042</xdr:colOff>
      <xdr:row>100</xdr:row>
      <xdr:rowOff>95250</xdr:rowOff>
    </xdr:to>
    <xdr:sp macro="" textlink="">
      <xdr:nvSpPr>
        <xdr:cNvPr id="1039" name="Text Box 15"/>
        <xdr:cNvSpPr txBox="1">
          <a:spLocks noChangeArrowheads="1"/>
        </xdr:cNvSpPr>
      </xdr:nvSpPr>
      <xdr:spPr bwMode="auto">
        <a:xfrm>
          <a:off x="1685925" y="15935325"/>
          <a:ext cx="3000375" cy="3905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Repeated Stress Cycles  </a:t>
          </a:r>
        </a:p>
        <a:p>
          <a:pPr algn="l" rtl="0">
            <a:defRPr sz="1000"/>
          </a:pPr>
          <a:r>
            <a:rPr lang="en-US" sz="1000" b="0" i="0" u="none" strike="noStrike" baseline="0">
              <a:solidFill>
                <a:srgbClr val="000000"/>
              </a:solidFill>
              <a:latin typeface="Arial"/>
              <a:cs typeface="Arial"/>
            </a:rPr>
            <a:t>Stress varies from zero to maximum tension (Smax).</a:t>
          </a:r>
        </a:p>
      </xdr:txBody>
    </xdr:sp>
    <xdr:clientData/>
  </xdr:twoCellAnchor>
  <xdr:twoCellAnchor>
    <xdr:from>
      <xdr:col>0</xdr:col>
      <xdr:colOff>168275</xdr:colOff>
      <xdr:row>135</xdr:row>
      <xdr:rowOff>133350</xdr:rowOff>
    </xdr:from>
    <xdr:to>
      <xdr:col>3</xdr:col>
      <xdr:colOff>428613</xdr:colOff>
      <xdr:row>144</xdr:row>
      <xdr:rowOff>0</xdr:rowOff>
    </xdr:to>
    <xdr:sp macro="" textlink="">
      <xdr:nvSpPr>
        <xdr:cNvPr id="1041" name="Text Box 17"/>
        <xdr:cNvSpPr txBox="1">
          <a:spLocks noChangeArrowheads="1"/>
        </xdr:cNvSpPr>
      </xdr:nvSpPr>
      <xdr:spPr bwMode="auto">
        <a:xfrm>
          <a:off x="171450" y="22031325"/>
          <a:ext cx="5495925" cy="1323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600"/>
            </a:lnSpc>
            <a:defRPr sz="1000"/>
          </a:pPr>
          <a:r>
            <a:rPr lang="en-US" sz="1000" b="1" i="0" u="none" strike="noStrike" baseline="0">
              <a:solidFill>
                <a:srgbClr val="000000"/>
              </a:solidFill>
              <a:latin typeface="Arial"/>
              <a:cs typeface="Arial"/>
            </a:rPr>
            <a:t>S-N Diagram for Typical Steel and Aluminum Alloys  </a:t>
          </a:r>
        </a:p>
        <a:p>
          <a:pPr algn="l" rtl="0">
            <a:lnSpc>
              <a:spcPts val="700"/>
            </a:lnSpc>
            <a:defRPr sz="1000"/>
          </a:pPr>
          <a:r>
            <a:rPr lang="en-US" sz="1000" b="0" i="0" u="none" strike="noStrike" baseline="0">
              <a:solidFill>
                <a:srgbClr val="000000"/>
              </a:solidFill>
              <a:latin typeface="Arial"/>
              <a:cs typeface="Arial"/>
            </a:rPr>
            <a:t>Fatigue testing of metals at a high stress level results in a low number of cycles to failure. Testing at a lower stress level results in a greater number of cycles to failure. </a:t>
          </a:r>
        </a:p>
        <a:p>
          <a:pPr algn="l" rtl="0">
            <a:lnSpc>
              <a:spcPts val="800"/>
            </a:lnSpc>
            <a:defRPr sz="1000"/>
          </a:pPr>
          <a:endParaRPr lang="en-US" sz="1000" b="0" i="0" u="none" strike="noStrike" baseline="0">
            <a:solidFill>
              <a:srgbClr val="000000"/>
            </a:solidFill>
            <a:latin typeface="Arial"/>
            <a:cs typeface="Arial"/>
          </a:endParaRPr>
        </a:p>
        <a:p>
          <a:pPr algn="l" rtl="0">
            <a:lnSpc>
              <a:spcPts val="700"/>
            </a:lnSpc>
            <a:defRPr sz="1000"/>
          </a:pPr>
          <a:r>
            <a:rPr lang="en-US" sz="1000" b="0" i="0" u="none" strike="noStrike" baseline="0">
              <a:solidFill>
                <a:srgbClr val="000000"/>
              </a:solidFill>
              <a:latin typeface="Arial"/>
              <a:cs typeface="Arial"/>
            </a:rPr>
            <a:t>Sut = Material ultimate static tensile stress.</a:t>
          </a:r>
        </a:p>
        <a:p>
          <a:pPr algn="l" rtl="0">
            <a:lnSpc>
              <a:spcPts val="1000"/>
            </a:lnSpc>
            <a:defRPr sz="1000"/>
          </a:pPr>
          <a:r>
            <a:rPr lang="en-US" sz="1000" b="0" i="0" u="none" strike="noStrike" baseline="0">
              <a:solidFill>
                <a:srgbClr val="000000"/>
              </a:solidFill>
              <a:latin typeface="Arial"/>
              <a:cs typeface="Arial"/>
            </a:rPr>
            <a:t>Sm = Material endurance stress at 1000 cycles.</a:t>
          </a:r>
        </a:p>
        <a:p>
          <a:pPr algn="l" rtl="0">
            <a:lnSpc>
              <a:spcPts val="1000"/>
            </a:lnSpc>
            <a:defRPr sz="1000"/>
          </a:pPr>
          <a:r>
            <a:rPr lang="en-US" sz="1000" b="0" i="0" u="none" strike="noStrike" baseline="0">
              <a:solidFill>
                <a:srgbClr val="000000"/>
              </a:solidFill>
              <a:latin typeface="Arial"/>
              <a:cs typeface="Arial"/>
            </a:rPr>
            <a:t>Se' = Uncorrected stress endurance limit for steel = Infinite number of cycles.</a:t>
          </a:r>
        </a:p>
        <a:p>
          <a:pPr algn="l" rtl="0">
            <a:lnSpc>
              <a:spcPts val="900"/>
            </a:lnSpc>
            <a:defRPr sz="1000"/>
          </a:pPr>
          <a:r>
            <a:rPr lang="en-US" sz="1000" b="0" i="0" u="none" strike="noStrike" baseline="0">
              <a:solidFill>
                <a:srgbClr val="000000"/>
              </a:solidFill>
              <a:latin typeface="Arial"/>
              <a:cs typeface="Arial"/>
            </a:rPr>
            <a:t>Se = Corrected stress endurance limit for steel = Infinite number of cycles.</a:t>
          </a:r>
        </a:p>
        <a:p>
          <a:pPr algn="l" rtl="0">
            <a:lnSpc>
              <a:spcPts val="1000"/>
            </a:lnSpc>
            <a:defRPr sz="1000"/>
          </a:pPr>
          <a:r>
            <a:rPr lang="en-US" sz="1000" b="0" i="0" u="none" strike="noStrike" baseline="0">
              <a:solidFill>
                <a:srgbClr val="000000"/>
              </a:solidFill>
              <a:latin typeface="Arial"/>
              <a:cs typeface="Arial"/>
            </a:rPr>
            <a:t>Sf = Stress endurance limit for aluminum &amp; copper alloys = Finite number of cycles.</a:t>
          </a:r>
        </a:p>
        <a:p>
          <a:pPr algn="l" rtl="0">
            <a:lnSpc>
              <a:spcPts val="9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900"/>
            </a:lnSpc>
            <a:defRPr sz="1000"/>
          </a:pPr>
          <a:endParaRPr lang="en-US" sz="1000" b="0" i="0" u="none" strike="noStrike" baseline="0">
            <a:solidFill>
              <a:srgbClr val="000000"/>
            </a:solidFill>
            <a:latin typeface="Arial"/>
            <a:cs typeface="Arial"/>
          </a:endParaRPr>
        </a:p>
      </xdr:txBody>
    </xdr:sp>
    <xdr:clientData/>
  </xdr:twoCellAnchor>
  <xdr:twoCellAnchor>
    <xdr:from>
      <xdr:col>0</xdr:col>
      <xdr:colOff>530225</xdr:colOff>
      <xdr:row>186</xdr:row>
      <xdr:rowOff>28575</xdr:rowOff>
    </xdr:from>
    <xdr:to>
      <xdr:col>2</xdr:col>
      <xdr:colOff>587375</xdr:colOff>
      <xdr:row>188</xdr:row>
      <xdr:rowOff>123825</xdr:rowOff>
    </xdr:to>
    <xdr:sp macro="" textlink="">
      <xdr:nvSpPr>
        <xdr:cNvPr id="1042" name="Text Box 18"/>
        <xdr:cNvSpPr txBox="1">
          <a:spLocks noChangeArrowheads="1"/>
        </xdr:cNvSpPr>
      </xdr:nvSpPr>
      <xdr:spPr bwMode="auto">
        <a:xfrm>
          <a:off x="533400" y="30184725"/>
          <a:ext cx="4324350" cy="419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100"/>
            </a:lnSpc>
            <a:defRPr sz="1000"/>
          </a:pPr>
          <a:r>
            <a:rPr lang="en-US" sz="1000" b="1" i="0" u="none" strike="noStrike" baseline="0">
              <a:solidFill>
                <a:srgbClr val="000000"/>
              </a:solidFill>
              <a:latin typeface="Arial"/>
              <a:cs typeface="Arial"/>
            </a:rPr>
            <a:t>S-N Diagram With Correction Factors  </a:t>
          </a:r>
        </a:p>
        <a:p>
          <a:pPr algn="l" rtl="0">
            <a:lnSpc>
              <a:spcPts val="1000"/>
            </a:lnSpc>
            <a:defRPr sz="1000"/>
          </a:pPr>
          <a:r>
            <a:rPr lang="en-US" sz="1000" b="0" i="0" u="none" strike="noStrike" baseline="0">
              <a:solidFill>
                <a:srgbClr val="000000"/>
              </a:solidFill>
              <a:latin typeface="Arial"/>
              <a:cs typeface="Arial"/>
            </a:rPr>
            <a:t>The above S-N diagram was constructed using fatigue correction factors, (C).</a:t>
          </a:r>
        </a:p>
        <a:p>
          <a:pPr algn="l" rtl="0">
            <a:lnSpc>
              <a:spcPts val="11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1038225</xdr:colOff>
      <xdr:row>118</xdr:row>
      <xdr:rowOff>28575</xdr:rowOff>
    </xdr:from>
    <xdr:to>
      <xdr:col>2</xdr:col>
      <xdr:colOff>485775</xdr:colOff>
      <xdr:row>135</xdr:row>
      <xdr:rowOff>66675</xdr:rowOff>
    </xdr:to>
    <xdr:pic>
      <xdr:nvPicPr>
        <xdr:cNvPr id="1559" name="Picture 24" descr="S-N-GRAGH-TYP-STEEL-ALUM"/>
        <xdr:cNvPicPr>
          <a:picLocks noChangeAspect="1" noChangeArrowheads="1"/>
        </xdr:cNvPicPr>
      </xdr:nvPicPr>
      <xdr:blipFill>
        <a:blip xmlns:r="http://schemas.openxmlformats.org/officeDocument/2006/relationships" r:embed="rId8" cstate="print"/>
        <a:srcRect/>
        <a:stretch>
          <a:fillRect/>
        </a:stretch>
      </xdr:blipFill>
      <xdr:spPr bwMode="auto">
        <a:xfrm>
          <a:off x="1038225" y="19173825"/>
          <a:ext cx="3714750" cy="2790825"/>
        </a:xfrm>
        <a:prstGeom prst="rect">
          <a:avLst/>
        </a:prstGeom>
        <a:noFill/>
        <a:ln w="9525">
          <a:noFill/>
          <a:miter lim="800000"/>
          <a:headEnd/>
          <a:tailEnd/>
        </a:ln>
      </xdr:spPr>
    </xdr:pic>
    <xdr:clientData/>
  </xdr:twoCellAnchor>
  <xdr:twoCellAnchor>
    <xdr:from>
      <xdr:col>0</xdr:col>
      <xdr:colOff>1797050</xdr:colOff>
      <xdr:row>115</xdr:row>
      <xdr:rowOff>133350</xdr:rowOff>
    </xdr:from>
    <xdr:to>
      <xdr:col>2</xdr:col>
      <xdr:colOff>326948</xdr:colOff>
      <xdr:row>119</xdr:row>
      <xdr:rowOff>85725</xdr:rowOff>
    </xdr:to>
    <xdr:sp macro="" textlink="">
      <xdr:nvSpPr>
        <xdr:cNvPr id="1038" name="Text Box 14"/>
        <xdr:cNvSpPr txBox="1">
          <a:spLocks noChangeArrowheads="1"/>
        </xdr:cNvSpPr>
      </xdr:nvSpPr>
      <xdr:spPr bwMode="auto">
        <a:xfrm>
          <a:off x="1800225" y="18792825"/>
          <a:ext cx="2800350" cy="600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Fluctuating Stress Cycles  </a:t>
          </a:r>
        </a:p>
        <a:p>
          <a:pPr algn="l" rtl="0">
            <a:defRPr sz="1000"/>
          </a:pPr>
          <a:r>
            <a:rPr lang="en-US" sz="1000" b="0" i="0" u="none" strike="noStrike" baseline="0">
              <a:solidFill>
                <a:srgbClr val="000000"/>
              </a:solidFill>
              <a:latin typeface="Arial"/>
              <a:cs typeface="Arial"/>
            </a:rPr>
            <a:t>Stress varies from minimum tension (Smin) to maximum tension (Smax).</a:t>
          </a:r>
        </a:p>
      </xdr:txBody>
    </xdr:sp>
    <xdr:clientData/>
  </xdr:twoCellAnchor>
  <xdr:twoCellAnchor>
    <xdr:from>
      <xdr:col>0</xdr:col>
      <xdr:colOff>149225</xdr:colOff>
      <xdr:row>144</xdr:row>
      <xdr:rowOff>47625</xdr:rowOff>
    </xdr:from>
    <xdr:to>
      <xdr:col>3</xdr:col>
      <xdr:colOff>403210</xdr:colOff>
      <xdr:row>149</xdr:row>
      <xdr:rowOff>133350</xdr:rowOff>
    </xdr:to>
    <xdr:sp macro="" textlink="">
      <xdr:nvSpPr>
        <xdr:cNvPr id="1058" name="Text Box 34"/>
        <xdr:cNvSpPr txBox="1">
          <a:spLocks noChangeArrowheads="1"/>
        </xdr:cNvSpPr>
      </xdr:nvSpPr>
      <xdr:spPr bwMode="auto">
        <a:xfrm>
          <a:off x="152400" y="23402925"/>
          <a:ext cx="5495925" cy="895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case of steel, there is a low stress level at which fatigue failure does not happen no matter how many cycles of stress are applied. This  (Se).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Aluminum and copper alloys do not have an endurance limit. A number of aluminum alloys have a fatigue strength of 40% of their ultimate tensile strength at 5 x 10^8 cycles.</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581025</xdr:colOff>
      <xdr:row>336</xdr:row>
      <xdr:rowOff>28575</xdr:rowOff>
    </xdr:from>
    <xdr:to>
      <xdr:col>2</xdr:col>
      <xdr:colOff>371475</xdr:colOff>
      <xdr:row>355</xdr:row>
      <xdr:rowOff>28575</xdr:rowOff>
    </xdr:to>
    <xdr:pic>
      <xdr:nvPicPr>
        <xdr:cNvPr id="1562" name="Picture 35" descr="S-N-GRAGH-PSI"/>
        <xdr:cNvPicPr>
          <a:picLocks noChangeAspect="1" noChangeArrowheads="1"/>
        </xdr:cNvPicPr>
      </xdr:nvPicPr>
      <xdr:blipFill>
        <a:blip xmlns:r="http://schemas.openxmlformats.org/officeDocument/2006/relationships" r:embed="rId9" cstate="print"/>
        <a:srcRect/>
        <a:stretch>
          <a:fillRect/>
        </a:stretch>
      </xdr:blipFill>
      <xdr:spPr bwMode="auto">
        <a:xfrm>
          <a:off x="581025" y="54749700"/>
          <a:ext cx="4057650" cy="3076575"/>
        </a:xfrm>
        <a:prstGeom prst="rect">
          <a:avLst/>
        </a:prstGeom>
        <a:noFill/>
        <a:ln w="9525">
          <a:noFill/>
          <a:miter lim="800000"/>
          <a:headEnd/>
          <a:tailEnd/>
        </a:ln>
      </xdr:spPr>
    </xdr:pic>
    <xdr:clientData/>
  </xdr:twoCellAnchor>
  <xdr:twoCellAnchor editAs="oneCell">
    <xdr:from>
      <xdr:col>0</xdr:col>
      <xdr:colOff>295275</xdr:colOff>
      <xdr:row>161</xdr:row>
      <xdr:rowOff>104775</xdr:rowOff>
    </xdr:from>
    <xdr:to>
      <xdr:col>3</xdr:col>
      <xdr:colOff>219075</xdr:colOff>
      <xdr:row>185</xdr:row>
      <xdr:rowOff>85725</xdr:rowOff>
    </xdr:to>
    <xdr:pic>
      <xdr:nvPicPr>
        <xdr:cNvPr id="1563" name="Picture 37" descr="S-N-GRAGH-TYP-STEEL-ALUM"/>
        <xdr:cNvPicPr>
          <a:picLocks noChangeAspect="1" noChangeArrowheads="1"/>
        </xdr:cNvPicPr>
      </xdr:nvPicPr>
      <xdr:blipFill>
        <a:blip xmlns:r="http://schemas.openxmlformats.org/officeDocument/2006/relationships" r:embed="rId8" cstate="print"/>
        <a:srcRect/>
        <a:stretch>
          <a:fillRect/>
        </a:stretch>
      </xdr:blipFill>
      <xdr:spPr bwMode="auto">
        <a:xfrm>
          <a:off x="295275" y="26212800"/>
          <a:ext cx="5162550" cy="3867150"/>
        </a:xfrm>
        <a:prstGeom prst="rect">
          <a:avLst/>
        </a:prstGeom>
        <a:noFill/>
        <a:ln w="9525">
          <a:noFill/>
          <a:miter lim="800000"/>
          <a:headEnd/>
          <a:tailEnd/>
        </a:ln>
      </xdr:spPr>
    </xdr:pic>
    <xdr:clientData/>
  </xdr:twoCellAnchor>
  <xdr:twoCellAnchor editAs="oneCell">
    <xdr:from>
      <xdr:col>0</xdr:col>
      <xdr:colOff>1219200</xdr:colOff>
      <xdr:row>204</xdr:row>
      <xdr:rowOff>114300</xdr:rowOff>
    </xdr:from>
    <xdr:to>
      <xdr:col>3</xdr:col>
      <xdr:colOff>114300</xdr:colOff>
      <xdr:row>226</xdr:row>
      <xdr:rowOff>76200</xdr:rowOff>
    </xdr:to>
    <xdr:pic>
      <xdr:nvPicPr>
        <xdr:cNvPr id="1564" name="Picture 39" descr="A95-AREAS"/>
        <xdr:cNvPicPr>
          <a:picLocks noChangeAspect="1" noChangeArrowheads="1"/>
        </xdr:cNvPicPr>
      </xdr:nvPicPr>
      <xdr:blipFill>
        <a:blip xmlns:r="http://schemas.openxmlformats.org/officeDocument/2006/relationships" r:embed="rId10" cstate="print"/>
        <a:srcRect/>
        <a:stretch>
          <a:fillRect/>
        </a:stretch>
      </xdr:blipFill>
      <xdr:spPr bwMode="auto">
        <a:xfrm>
          <a:off x="1219200" y="33204150"/>
          <a:ext cx="4133850" cy="35242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714375</xdr:colOff>
      <xdr:row>40</xdr:row>
      <xdr:rowOff>142875</xdr:rowOff>
    </xdr:from>
    <xdr:to>
      <xdr:col>1</xdr:col>
      <xdr:colOff>228600</xdr:colOff>
      <xdr:row>50</xdr:row>
      <xdr:rowOff>104775</xdr:rowOff>
    </xdr:to>
    <xdr:pic>
      <xdr:nvPicPr>
        <xdr:cNvPr id="8873" name="Picture 1" descr="3D-SHAFT-SHOULDER-BENDING"/>
        <xdr:cNvPicPr>
          <a:picLocks noChangeAspect="1" noChangeArrowheads="1"/>
        </xdr:cNvPicPr>
      </xdr:nvPicPr>
      <xdr:blipFill>
        <a:blip xmlns:r="http://schemas.openxmlformats.org/officeDocument/2006/relationships" r:embed="rId1" cstate="print"/>
        <a:srcRect/>
        <a:stretch>
          <a:fillRect/>
        </a:stretch>
      </xdr:blipFill>
      <xdr:spPr bwMode="auto">
        <a:xfrm>
          <a:off x="714375" y="6715125"/>
          <a:ext cx="2228850" cy="1590675"/>
        </a:xfrm>
        <a:prstGeom prst="rect">
          <a:avLst/>
        </a:prstGeom>
        <a:noFill/>
        <a:ln w="9525">
          <a:noFill/>
          <a:miter lim="800000"/>
          <a:headEnd/>
          <a:tailEnd/>
        </a:ln>
      </xdr:spPr>
    </xdr:pic>
    <xdr:clientData/>
  </xdr:twoCellAnchor>
  <xdr:twoCellAnchor editAs="oneCell">
    <xdr:from>
      <xdr:col>0</xdr:col>
      <xdr:colOff>1181100</xdr:colOff>
      <xdr:row>74</xdr:row>
      <xdr:rowOff>152400</xdr:rowOff>
    </xdr:from>
    <xdr:to>
      <xdr:col>2</xdr:col>
      <xdr:colOff>400050</xdr:colOff>
      <xdr:row>91</xdr:row>
      <xdr:rowOff>104775</xdr:rowOff>
    </xdr:to>
    <xdr:pic>
      <xdr:nvPicPr>
        <xdr:cNvPr id="8874" name="Picture 2" descr="3D-PLATE-SHOULDER-BENDING"/>
        <xdr:cNvPicPr>
          <a:picLocks noChangeAspect="1" noChangeArrowheads="1"/>
        </xdr:cNvPicPr>
      </xdr:nvPicPr>
      <xdr:blipFill>
        <a:blip xmlns:r="http://schemas.openxmlformats.org/officeDocument/2006/relationships" r:embed="rId2" cstate="print"/>
        <a:srcRect/>
        <a:stretch>
          <a:fillRect/>
        </a:stretch>
      </xdr:blipFill>
      <xdr:spPr bwMode="auto">
        <a:xfrm>
          <a:off x="1181100" y="12296775"/>
          <a:ext cx="3695700" cy="2705100"/>
        </a:xfrm>
        <a:prstGeom prst="rect">
          <a:avLst/>
        </a:prstGeom>
        <a:noFill/>
        <a:ln w="9525">
          <a:noFill/>
          <a:miter lim="800000"/>
          <a:headEnd/>
          <a:tailEnd/>
        </a:ln>
      </xdr:spPr>
    </xdr:pic>
    <xdr:clientData/>
  </xdr:twoCellAnchor>
  <xdr:twoCellAnchor>
    <xdr:from>
      <xdr:col>3</xdr:col>
      <xdr:colOff>66675</xdr:colOff>
      <xdr:row>160</xdr:row>
      <xdr:rowOff>66675</xdr:rowOff>
    </xdr:from>
    <xdr:to>
      <xdr:col>3</xdr:col>
      <xdr:colOff>504825</xdr:colOff>
      <xdr:row>166</xdr:row>
      <xdr:rowOff>47625</xdr:rowOff>
    </xdr:to>
    <xdr:sp macro="" textlink="">
      <xdr:nvSpPr>
        <xdr:cNvPr id="8875" name="Rectangle 3"/>
        <xdr:cNvSpPr>
          <a:spLocks noChangeArrowheads="1"/>
        </xdr:cNvSpPr>
      </xdr:nvSpPr>
      <xdr:spPr bwMode="auto">
        <a:xfrm>
          <a:off x="5314950" y="26555700"/>
          <a:ext cx="438150" cy="971550"/>
        </a:xfrm>
        <a:prstGeom prst="rect">
          <a:avLst/>
        </a:prstGeom>
        <a:solidFill>
          <a:srgbClr val="FFFFFF"/>
        </a:solidFill>
        <a:ln w="9525">
          <a:solidFill>
            <a:srgbClr val="000000"/>
          </a:solidFill>
          <a:miter lim="800000"/>
          <a:headEnd/>
          <a:tailEnd/>
        </a:ln>
      </xdr:spPr>
    </xdr:sp>
    <xdr:clientData/>
  </xdr:twoCellAnchor>
  <xdr:twoCellAnchor>
    <xdr:from>
      <xdr:col>3</xdr:col>
      <xdr:colOff>196850</xdr:colOff>
      <xdr:row>166</xdr:row>
      <xdr:rowOff>133350</xdr:rowOff>
    </xdr:from>
    <xdr:to>
      <xdr:col>3</xdr:col>
      <xdr:colOff>400101</xdr:colOff>
      <xdr:row>167</xdr:row>
      <xdr:rowOff>123825</xdr:rowOff>
    </xdr:to>
    <xdr:sp macro="" textlink="">
      <xdr:nvSpPr>
        <xdr:cNvPr id="8198" name="Text Box 6"/>
        <xdr:cNvSpPr txBox="1">
          <a:spLocks noChangeArrowheads="1"/>
        </xdr:cNvSpPr>
      </xdr:nvSpPr>
      <xdr:spPr bwMode="auto">
        <a:xfrm>
          <a:off x="5448300" y="27612975"/>
          <a:ext cx="200025" cy="1524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B</a:t>
          </a:r>
        </a:p>
      </xdr:txBody>
    </xdr:sp>
    <xdr:clientData/>
  </xdr:twoCellAnchor>
  <xdr:twoCellAnchor>
    <xdr:from>
      <xdr:col>2</xdr:col>
      <xdr:colOff>504825</xdr:colOff>
      <xdr:row>160</xdr:row>
      <xdr:rowOff>47625</xdr:rowOff>
    </xdr:from>
    <xdr:to>
      <xdr:col>2</xdr:col>
      <xdr:colOff>504825</xdr:colOff>
      <xdr:row>162</xdr:row>
      <xdr:rowOff>114300</xdr:rowOff>
    </xdr:to>
    <xdr:sp macro="" textlink="">
      <xdr:nvSpPr>
        <xdr:cNvPr id="8877" name="Line 7"/>
        <xdr:cNvSpPr>
          <a:spLocks noChangeShapeType="1"/>
        </xdr:cNvSpPr>
      </xdr:nvSpPr>
      <xdr:spPr bwMode="auto">
        <a:xfrm flipV="1">
          <a:off x="4981575" y="26536650"/>
          <a:ext cx="0" cy="400050"/>
        </a:xfrm>
        <a:prstGeom prst="line">
          <a:avLst/>
        </a:prstGeom>
        <a:noFill/>
        <a:ln w="9525">
          <a:solidFill>
            <a:srgbClr val="000000"/>
          </a:solidFill>
          <a:round/>
          <a:headEnd/>
          <a:tailEnd type="triangle" w="med" len="med"/>
        </a:ln>
      </xdr:spPr>
    </xdr:sp>
    <xdr:clientData/>
  </xdr:twoCellAnchor>
  <xdr:twoCellAnchor>
    <xdr:from>
      <xdr:col>2</xdr:col>
      <xdr:colOff>514350</xdr:colOff>
      <xdr:row>163</xdr:row>
      <xdr:rowOff>19050</xdr:rowOff>
    </xdr:from>
    <xdr:to>
      <xdr:col>2</xdr:col>
      <xdr:colOff>514350</xdr:colOff>
      <xdr:row>166</xdr:row>
      <xdr:rowOff>76200</xdr:rowOff>
    </xdr:to>
    <xdr:sp macro="" textlink="">
      <xdr:nvSpPr>
        <xdr:cNvPr id="8878" name="Line 8"/>
        <xdr:cNvSpPr>
          <a:spLocks noChangeShapeType="1"/>
        </xdr:cNvSpPr>
      </xdr:nvSpPr>
      <xdr:spPr bwMode="auto">
        <a:xfrm>
          <a:off x="4991100" y="27012900"/>
          <a:ext cx="0" cy="542925"/>
        </a:xfrm>
        <a:prstGeom prst="line">
          <a:avLst/>
        </a:prstGeom>
        <a:noFill/>
        <a:ln w="9525">
          <a:solidFill>
            <a:srgbClr val="000000"/>
          </a:solidFill>
          <a:round/>
          <a:headEnd/>
          <a:tailEnd type="triangle" w="med" len="med"/>
        </a:ln>
      </xdr:spPr>
    </xdr:sp>
    <xdr:clientData/>
  </xdr:twoCellAnchor>
  <xdr:twoCellAnchor>
    <xdr:from>
      <xdr:col>2</xdr:col>
      <xdr:colOff>600075</xdr:colOff>
      <xdr:row>167</xdr:row>
      <xdr:rowOff>57150</xdr:rowOff>
    </xdr:from>
    <xdr:to>
      <xdr:col>3</xdr:col>
      <xdr:colOff>95250</xdr:colOff>
      <xdr:row>167</xdr:row>
      <xdr:rowOff>57150</xdr:rowOff>
    </xdr:to>
    <xdr:sp macro="" textlink="">
      <xdr:nvSpPr>
        <xdr:cNvPr id="8879" name="Line 9"/>
        <xdr:cNvSpPr>
          <a:spLocks noChangeShapeType="1"/>
        </xdr:cNvSpPr>
      </xdr:nvSpPr>
      <xdr:spPr bwMode="auto">
        <a:xfrm>
          <a:off x="5076825" y="27698700"/>
          <a:ext cx="266700" cy="0"/>
        </a:xfrm>
        <a:prstGeom prst="line">
          <a:avLst/>
        </a:prstGeom>
        <a:noFill/>
        <a:ln w="9525">
          <a:solidFill>
            <a:srgbClr val="000000"/>
          </a:solidFill>
          <a:round/>
          <a:headEnd/>
          <a:tailEnd type="triangle" w="med" len="med"/>
        </a:ln>
      </xdr:spPr>
    </xdr:sp>
    <xdr:clientData/>
  </xdr:twoCellAnchor>
  <xdr:twoCellAnchor>
    <xdr:from>
      <xdr:col>3</xdr:col>
      <xdr:colOff>495300</xdr:colOff>
      <xdr:row>167</xdr:row>
      <xdr:rowOff>38100</xdr:rowOff>
    </xdr:from>
    <xdr:to>
      <xdr:col>3</xdr:col>
      <xdr:colOff>666750</xdr:colOff>
      <xdr:row>167</xdr:row>
      <xdr:rowOff>38100</xdr:rowOff>
    </xdr:to>
    <xdr:sp macro="" textlink="">
      <xdr:nvSpPr>
        <xdr:cNvPr id="8880" name="Line 10"/>
        <xdr:cNvSpPr>
          <a:spLocks noChangeShapeType="1"/>
        </xdr:cNvSpPr>
      </xdr:nvSpPr>
      <xdr:spPr bwMode="auto">
        <a:xfrm flipH="1">
          <a:off x="5743575" y="27679650"/>
          <a:ext cx="171450" cy="0"/>
        </a:xfrm>
        <a:prstGeom prst="line">
          <a:avLst/>
        </a:prstGeom>
        <a:noFill/>
        <a:ln w="9525">
          <a:solidFill>
            <a:srgbClr val="000000"/>
          </a:solidFill>
          <a:round/>
          <a:headEnd/>
          <a:tailEnd type="triangle" w="med" len="med"/>
        </a:ln>
      </xdr:spPr>
    </xdr:sp>
    <xdr:clientData/>
  </xdr:twoCellAnchor>
  <xdr:twoCellAnchor>
    <xdr:from>
      <xdr:col>2</xdr:col>
      <xdr:colOff>403225</xdr:colOff>
      <xdr:row>162</xdr:row>
      <xdr:rowOff>85725</xdr:rowOff>
    </xdr:from>
    <xdr:to>
      <xdr:col>2</xdr:col>
      <xdr:colOff>606476</xdr:colOff>
      <xdr:row>163</xdr:row>
      <xdr:rowOff>76200</xdr:rowOff>
    </xdr:to>
    <xdr:sp macro="" textlink="">
      <xdr:nvSpPr>
        <xdr:cNvPr id="8197" name="Text Box 5"/>
        <xdr:cNvSpPr txBox="1">
          <a:spLocks noChangeArrowheads="1"/>
        </xdr:cNvSpPr>
      </xdr:nvSpPr>
      <xdr:spPr bwMode="auto">
        <a:xfrm>
          <a:off x="4886325" y="26908125"/>
          <a:ext cx="2000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H</a:t>
          </a:r>
        </a:p>
      </xdr:txBody>
    </xdr:sp>
    <xdr:clientData/>
  </xdr:twoCellAnchor>
  <xdr:twoCellAnchor>
    <xdr:from>
      <xdr:col>2</xdr:col>
      <xdr:colOff>685800</xdr:colOff>
      <xdr:row>163</xdr:row>
      <xdr:rowOff>66675</xdr:rowOff>
    </xdr:from>
    <xdr:to>
      <xdr:col>3</xdr:col>
      <xdr:colOff>657225</xdr:colOff>
      <xdr:row>163</xdr:row>
      <xdr:rowOff>66675</xdr:rowOff>
    </xdr:to>
    <xdr:sp macro="" textlink="">
      <xdr:nvSpPr>
        <xdr:cNvPr id="8882" name="Line 11"/>
        <xdr:cNvSpPr>
          <a:spLocks noChangeShapeType="1"/>
        </xdr:cNvSpPr>
      </xdr:nvSpPr>
      <xdr:spPr bwMode="auto">
        <a:xfrm>
          <a:off x="5162550" y="27060525"/>
          <a:ext cx="742950" cy="0"/>
        </a:xfrm>
        <a:prstGeom prst="line">
          <a:avLst/>
        </a:prstGeom>
        <a:noFill/>
        <a:ln w="9525">
          <a:solidFill>
            <a:srgbClr val="000000"/>
          </a:solidFill>
          <a:prstDash val="lgDashDot"/>
          <a:round/>
          <a:headEnd/>
          <a:tailEnd/>
        </a:ln>
      </xdr:spPr>
    </xdr:sp>
    <xdr:clientData/>
  </xdr:twoCellAnchor>
  <xdr:twoCellAnchor>
    <xdr:from>
      <xdr:col>3</xdr:col>
      <xdr:colOff>76200</xdr:colOff>
      <xdr:row>169</xdr:row>
      <xdr:rowOff>133350</xdr:rowOff>
    </xdr:from>
    <xdr:to>
      <xdr:col>3</xdr:col>
      <xdr:colOff>590550</xdr:colOff>
      <xdr:row>172</xdr:row>
      <xdr:rowOff>95250</xdr:rowOff>
    </xdr:to>
    <xdr:sp macro="" textlink="">
      <xdr:nvSpPr>
        <xdr:cNvPr id="8883" name="Oval 12"/>
        <xdr:cNvSpPr>
          <a:spLocks noChangeArrowheads="1"/>
        </xdr:cNvSpPr>
      </xdr:nvSpPr>
      <xdr:spPr bwMode="auto">
        <a:xfrm>
          <a:off x="5324475" y="28098750"/>
          <a:ext cx="514350" cy="466725"/>
        </a:xfrm>
        <a:prstGeom prst="ellipse">
          <a:avLst/>
        </a:prstGeom>
        <a:solidFill>
          <a:srgbClr val="FFFFFF"/>
        </a:solidFill>
        <a:ln w="9525">
          <a:solidFill>
            <a:srgbClr val="000000"/>
          </a:solidFill>
          <a:round/>
          <a:headEnd/>
          <a:tailEnd/>
        </a:ln>
      </xdr:spPr>
    </xdr:sp>
    <xdr:clientData/>
  </xdr:twoCellAnchor>
  <xdr:twoCellAnchor>
    <xdr:from>
      <xdr:col>2</xdr:col>
      <xdr:colOff>647700</xdr:colOff>
      <xdr:row>171</xdr:row>
      <xdr:rowOff>95250</xdr:rowOff>
    </xdr:from>
    <xdr:to>
      <xdr:col>3</xdr:col>
      <xdr:colOff>95250</xdr:colOff>
      <xdr:row>172</xdr:row>
      <xdr:rowOff>66675</xdr:rowOff>
    </xdr:to>
    <xdr:sp macro="" textlink="">
      <xdr:nvSpPr>
        <xdr:cNvPr id="8884" name="Line 13"/>
        <xdr:cNvSpPr>
          <a:spLocks noChangeShapeType="1"/>
        </xdr:cNvSpPr>
      </xdr:nvSpPr>
      <xdr:spPr bwMode="auto">
        <a:xfrm flipV="1">
          <a:off x="5124450" y="28403550"/>
          <a:ext cx="219075" cy="133350"/>
        </a:xfrm>
        <a:prstGeom prst="line">
          <a:avLst/>
        </a:prstGeom>
        <a:noFill/>
        <a:ln w="9525">
          <a:solidFill>
            <a:srgbClr val="000000"/>
          </a:solidFill>
          <a:round/>
          <a:headEnd/>
          <a:tailEnd type="triangle" w="med" len="med"/>
        </a:ln>
      </xdr:spPr>
    </xdr:sp>
    <xdr:clientData/>
  </xdr:twoCellAnchor>
  <xdr:twoCellAnchor>
    <xdr:from>
      <xdr:col>2</xdr:col>
      <xdr:colOff>457200</xdr:colOff>
      <xdr:row>171</xdr:row>
      <xdr:rowOff>152400</xdr:rowOff>
    </xdr:from>
    <xdr:to>
      <xdr:col>2</xdr:col>
      <xdr:colOff>650724</xdr:colOff>
      <xdr:row>173</xdr:row>
      <xdr:rowOff>0</xdr:rowOff>
    </xdr:to>
    <xdr:sp macro="" textlink="">
      <xdr:nvSpPr>
        <xdr:cNvPr id="8206" name="Text Box 14"/>
        <xdr:cNvSpPr txBox="1">
          <a:spLocks noChangeArrowheads="1"/>
        </xdr:cNvSpPr>
      </xdr:nvSpPr>
      <xdr:spPr bwMode="auto">
        <a:xfrm>
          <a:off x="4933950" y="28460700"/>
          <a:ext cx="190500" cy="1714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D</a:t>
          </a:r>
        </a:p>
      </xdr:txBody>
    </xdr:sp>
    <xdr:clientData/>
  </xdr:twoCellAnchor>
  <xdr:twoCellAnchor>
    <xdr:from>
      <xdr:col>2</xdr:col>
      <xdr:colOff>733425</xdr:colOff>
      <xdr:row>171</xdr:row>
      <xdr:rowOff>9525</xdr:rowOff>
    </xdr:from>
    <xdr:to>
      <xdr:col>3</xdr:col>
      <xdr:colOff>704850</xdr:colOff>
      <xdr:row>171</xdr:row>
      <xdr:rowOff>9525</xdr:rowOff>
    </xdr:to>
    <xdr:sp macro="" textlink="">
      <xdr:nvSpPr>
        <xdr:cNvPr id="8886" name="Line 15"/>
        <xdr:cNvSpPr>
          <a:spLocks noChangeShapeType="1"/>
        </xdr:cNvSpPr>
      </xdr:nvSpPr>
      <xdr:spPr bwMode="auto">
        <a:xfrm>
          <a:off x="5210175" y="28317825"/>
          <a:ext cx="742950" cy="0"/>
        </a:xfrm>
        <a:prstGeom prst="line">
          <a:avLst/>
        </a:prstGeom>
        <a:noFill/>
        <a:ln w="9525">
          <a:solidFill>
            <a:srgbClr val="000000"/>
          </a:solidFill>
          <a:prstDash val="lgDashDot"/>
          <a:round/>
          <a:headEnd/>
          <a:tailEnd/>
        </a:ln>
      </xdr:spPr>
    </xdr:sp>
    <xdr:clientData/>
  </xdr:twoCellAnchor>
  <xdr:twoCellAnchor>
    <xdr:from>
      <xdr:col>3</xdr:col>
      <xdr:colOff>333375</xdr:colOff>
      <xdr:row>169</xdr:row>
      <xdr:rowOff>38100</xdr:rowOff>
    </xdr:from>
    <xdr:to>
      <xdr:col>3</xdr:col>
      <xdr:colOff>333375</xdr:colOff>
      <xdr:row>173</xdr:row>
      <xdr:rowOff>85725</xdr:rowOff>
    </xdr:to>
    <xdr:sp macro="" textlink="">
      <xdr:nvSpPr>
        <xdr:cNvPr id="8887" name="Line 16"/>
        <xdr:cNvSpPr>
          <a:spLocks noChangeShapeType="1"/>
        </xdr:cNvSpPr>
      </xdr:nvSpPr>
      <xdr:spPr bwMode="auto">
        <a:xfrm>
          <a:off x="5581650" y="28003500"/>
          <a:ext cx="0" cy="714375"/>
        </a:xfrm>
        <a:prstGeom prst="line">
          <a:avLst/>
        </a:prstGeom>
        <a:noFill/>
        <a:ln w="9525">
          <a:solidFill>
            <a:srgbClr val="000000"/>
          </a:solidFill>
          <a:prstDash val="lgDashDot"/>
          <a:round/>
          <a:headEnd/>
          <a:tailEnd/>
        </a:ln>
      </xdr:spPr>
    </xdr:sp>
    <xdr:clientData/>
  </xdr:twoCellAnchor>
  <xdr:twoCellAnchor>
    <xdr:from>
      <xdr:col>0</xdr:col>
      <xdr:colOff>2178050</xdr:colOff>
      <xdr:row>94</xdr:row>
      <xdr:rowOff>41275</xdr:rowOff>
    </xdr:from>
    <xdr:to>
      <xdr:col>1</xdr:col>
      <xdr:colOff>1247862</xdr:colOff>
      <xdr:row>98</xdr:row>
      <xdr:rowOff>3175</xdr:rowOff>
    </xdr:to>
    <xdr:sp macro="" textlink="">
      <xdr:nvSpPr>
        <xdr:cNvPr id="8211" name="Text Box 19"/>
        <xdr:cNvSpPr txBox="1">
          <a:spLocks noChangeArrowheads="1"/>
        </xdr:cNvSpPr>
      </xdr:nvSpPr>
      <xdr:spPr bwMode="auto">
        <a:xfrm>
          <a:off x="2181225" y="15449550"/>
          <a:ext cx="1781175" cy="609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000"/>
            </a:lnSpc>
            <a:defRPr sz="1000"/>
          </a:pPr>
          <a:r>
            <a:rPr lang="en-US" sz="1000" b="1" i="0" u="none" strike="noStrike" baseline="0">
              <a:solidFill>
                <a:srgbClr val="000000"/>
              </a:solidFill>
              <a:latin typeface="Arial"/>
              <a:cs typeface="Arial"/>
            </a:rPr>
            <a:t>Kt Table</a:t>
          </a:r>
          <a:endParaRPr lang="en-US" sz="1000" b="0" i="0" u="none" strike="noStrike" baseline="0">
            <a:solidFill>
              <a:srgbClr val="000000"/>
            </a:solidFill>
            <a:latin typeface="Arial"/>
            <a:cs typeface="Arial"/>
          </a:endParaRPr>
        </a:p>
        <a:p>
          <a:pPr algn="l" rtl="0">
            <a:lnSpc>
              <a:spcPts val="900"/>
            </a:lnSpc>
            <a:defRPr sz="1000"/>
          </a:pPr>
          <a:r>
            <a:rPr lang="en-US" sz="1000" b="0" i="0" u="none" strike="noStrike" baseline="0">
              <a:solidFill>
                <a:srgbClr val="000000"/>
              </a:solidFill>
              <a:latin typeface="Arial"/>
              <a:cs typeface="Arial"/>
            </a:rPr>
            <a:t>Geometric stress concentration factor </a:t>
          </a:r>
          <a:r>
            <a:rPr lang="en-US" sz="1000" b="1" i="0" u="none" strike="noStrike" baseline="0">
              <a:solidFill>
                <a:srgbClr val="000000"/>
              </a:solidFill>
              <a:latin typeface="Arial"/>
              <a:cs typeface="Arial"/>
            </a:rPr>
            <a:t>(Kt) </a:t>
          </a:r>
          <a:r>
            <a:rPr lang="en-US" sz="1000" b="0" i="0" u="none" strike="noStrike" baseline="0">
              <a:solidFill>
                <a:srgbClr val="000000"/>
              </a:solidFill>
              <a:latin typeface="Arial"/>
              <a:cs typeface="Arial"/>
            </a:rPr>
            <a:t>in static bending.  </a:t>
          </a:r>
        </a:p>
      </xdr:txBody>
    </xdr:sp>
    <xdr:clientData/>
  </xdr:twoCellAnchor>
  <xdr:twoCellAnchor editAs="oneCell">
    <xdr:from>
      <xdr:col>0</xdr:col>
      <xdr:colOff>714375</xdr:colOff>
      <xdr:row>40</xdr:row>
      <xdr:rowOff>142875</xdr:rowOff>
    </xdr:from>
    <xdr:to>
      <xdr:col>1</xdr:col>
      <xdr:colOff>228600</xdr:colOff>
      <xdr:row>50</xdr:row>
      <xdr:rowOff>104775</xdr:rowOff>
    </xdr:to>
    <xdr:pic>
      <xdr:nvPicPr>
        <xdr:cNvPr id="8889" name="Picture 1" descr="3D-SHAFT-SHOULDER-BENDING"/>
        <xdr:cNvPicPr>
          <a:picLocks noChangeAspect="1" noChangeArrowheads="1"/>
        </xdr:cNvPicPr>
      </xdr:nvPicPr>
      <xdr:blipFill>
        <a:blip xmlns:r="http://schemas.openxmlformats.org/officeDocument/2006/relationships" r:embed="rId1" cstate="print"/>
        <a:srcRect/>
        <a:stretch>
          <a:fillRect/>
        </a:stretch>
      </xdr:blipFill>
      <xdr:spPr bwMode="auto">
        <a:xfrm>
          <a:off x="714375" y="6715125"/>
          <a:ext cx="2228850" cy="1590675"/>
        </a:xfrm>
        <a:prstGeom prst="rect">
          <a:avLst/>
        </a:prstGeom>
        <a:noFill/>
        <a:ln w="9525">
          <a:noFill/>
          <a:miter lim="800000"/>
          <a:headEnd/>
          <a:tailEnd/>
        </a:ln>
      </xdr:spPr>
    </xdr:pic>
    <xdr:clientData/>
  </xdr:twoCellAnchor>
  <xdr:twoCellAnchor editAs="oneCell">
    <xdr:from>
      <xdr:col>0</xdr:col>
      <xdr:colOff>1181100</xdr:colOff>
      <xdr:row>74</xdr:row>
      <xdr:rowOff>152400</xdr:rowOff>
    </xdr:from>
    <xdr:to>
      <xdr:col>2</xdr:col>
      <xdr:colOff>400050</xdr:colOff>
      <xdr:row>91</xdr:row>
      <xdr:rowOff>104775</xdr:rowOff>
    </xdr:to>
    <xdr:pic>
      <xdr:nvPicPr>
        <xdr:cNvPr id="8890" name="Picture 2" descr="3D-PLATE-SHOULDER-BENDING"/>
        <xdr:cNvPicPr>
          <a:picLocks noChangeAspect="1" noChangeArrowheads="1"/>
        </xdr:cNvPicPr>
      </xdr:nvPicPr>
      <xdr:blipFill>
        <a:blip xmlns:r="http://schemas.openxmlformats.org/officeDocument/2006/relationships" r:embed="rId2" cstate="print"/>
        <a:srcRect/>
        <a:stretch>
          <a:fillRect/>
        </a:stretch>
      </xdr:blipFill>
      <xdr:spPr bwMode="auto">
        <a:xfrm>
          <a:off x="1181100" y="12296775"/>
          <a:ext cx="3695700" cy="2705100"/>
        </a:xfrm>
        <a:prstGeom prst="rect">
          <a:avLst/>
        </a:prstGeom>
        <a:noFill/>
        <a:ln w="9525">
          <a:noFill/>
          <a:miter lim="800000"/>
          <a:headEnd/>
          <a:tailEnd/>
        </a:ln>
      </xdr:spPr>
    </xdr:pic>
    <xdr:clientData/>
  </xdr:twoCellAnchor>
  <xdr:twoCellAnchor>
    <xdr:from>
      <xdr:col>3</xdr:col>
      <xdr:colOff>66675</xdr:colOff>
      <xdr:row>160</xdr:row>
      <xdr:rowOff>66675</xdr:rowOff>
    </xdr:from>
    <xdr:to>
      <xdr:col>3</xdr:col>
      <xdr:colOff>504825</xdr:colOff>
      <xdr:row>166</xdr:row>
      <xdr:rowOff>47625</xdr:rowOff>
    </xdr:to>
    <xdr:sp macro="" textlink="">
      <xdr:nvSpPr>
        <xdr:cNvPr id="8891" name="Rectangle 3"/>
        <xdr:cNvSpPr>
          <a:spLocks noChangeArrowheads="1"/>
        </xdr:cNvSpPr>
      </xdr:nvSpPr>
      <xdr:spPr bwMode="auto">
        <a:xfrm>
          <a:off x="5314950" y="26555700"/>
          <a:ext cx="438150" cy="971550"/>
        </a:xfrm>
        <a:prstGeom prst="rect">
          <a:avLst/>
        </a:prstGeom>
        <a:solidFill>
          <a:srgbClr val="FFFFFF"/>
        </a:solidFill>
        <a:ln w="9525">
          <a:solidFill>
            <a:srgbClr val="000000"/>
          </a:solidFill>
          <a:miter lim="800000"/>
          <a:headEnd/>
          <a:tailEnd/>
        </a:ln>
      </xdr:spPr>
    </xdr:sp>
    <xdr:clientData/>
  </xdr:twoCellAnchor>
  <xdr:twoCellAnchor>
    <xdr:from>
      <xdr:col>3</xdr:col>
      <xdr:colOff>196850</xdr:colOff>
      <xdr:row>166</xdr:row>
      <xdr:rowOff>133350</xdr:rowOff>
    </xdr:from>
    <xdr:to>
      <xdr:col>3</xdr:col>
      <xdr:colOff>400101</xdr:colOff>
      <xdr:row>167</xdr:row>
      <xdr:rowOff>123825</xdr:rowOff>
    </xdr:to>
    <xdr:sp macro="" textlink="">
      <xdr:nvSpPr>
        <xdr:cNvPr id="21" name="Text Box 6"/>
        <xdr:cNvSpPr txBox="1">
          <a:spLocks noChangeArrowheads="1"/>
        </xdr:cNvSpPr>
      </xdr:nvSpPr>
      <xdr:spPr bwMode="auto">
        <a:xfrm>
          <a:off x="5448300" y="27612975"/>
          <a:ext cx="200025" cy="1524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B</a:t>
          </a:r>
        </a:p>
      </xdr:txBody>
    </xdr:sp>
    <xdr:clientData/>
  </xdr:twoCellAnchor>
  <xdr:twoCellAnchor>
    <xdr:from>
      <xdr:col>2</xdr:col>
      <xdr:colOff>504825</xdr:colOff>
      <xdr:row>160</xdr:row>
      <xdr:rowOff>47625</xdr:rowOff>
    </xdr:from>
    <xdr:to>
      <xdr:col>2</xdr:col>
      <xdr:colOff>504825</xdr:colOff>
      <xdr:row>162</xdr:row>
      <xdr:rowOff>114300</xdr:rowOff>
    </xdr:to>
    <xdr:sp macro="" textlink="">
      <xdr:nvSpPr>
        <xdr:cNvPr id="8893" name="Line 7"/>
        <xdr:cNvSpPr>
          <a:spLocks noChangeShapeType="1"/>
        </xdr:cNvSpPr>
      </xdr:nvSpPr>
      <xdr:spPr bwMode="auto">
        <a:xfrm flipV="1">
          <a:off x="4981575" y="26536650"/>
          <a:ext cx="0" cy="400050"/>
        </a:xfrm>
        <a:prstGeom prst="line">
          <a:avLst/>
        </a:prstGeom>
        <a:noFill/>
        <a:ln w="9525">
          <a:solidFill>
            <a:srgbClr val="000000"/>
          </a:solidFill>
          <a:round/>
          <a:headEnd/>
          <a:tailEnd type="triangle" w="med" len="med"/>
        </a:ln>
      </xdr:spPr>
    </xdr:sp>
    <xdr:clientData/>
  </xdr:twoCellAnchor>
  <xdr:twoCellAnchor>
    <xdr:from>
      <xdr:col>2</xdr:col>
      <xdr:colOff>514350</xdr:colOff>
      <xdr:row>163</xdr:row>
      <xdr:rowOff>19050</xdr:rowOff>
    </xdr:from>
    <xdr:to>
      <xdr:col>2</xdr:col>
      <xdr:colOff>514350</xdr:colOff>
      <xdr:row>166</xdr:row>
      <xdr:rowOff>76200</xdr:rowOff>
    </xdr:to>
    <xdr:sp macro="" textlink="">
      <xdr:nvSpPr>
        <xdr:cNvPr id="8894" name="Line 8"/>
        <xdr:cNvSpPr>
          <a:spLocks noChangeShapeType="1"/>
        </xdr:cNvSpPr>
      </xdr:nvSpPr>
      <xdr:spPr bwMode="auto">
        <a:xfrm>
          <a:off x="4991100" y="27012900"/>
          <a:ext cx="0" cy="542925"/>
        </a:xfrm>
        <a:prstGeom prst="line">
          <a:avLst/>
        </a:prstGeom>
        <a:noFill/>
        <a:ln w="9525">
          <a:solidFill>
            <a:srgbClr val="000000"/>
          </a:solidFill>
          <a:round/>
          <a:headEnd/>
          <a:tailEnd type="triangle" w="med" len="med"/>
        </a:ln>
      </xdr:spPr>
    </xdr:sp>
    <xdr:clientData/>
  </xdr:twoCellAnchor>
  <xdr:twoCellAnchor>
    <xdr:from>
      <xdr:col>2</xdr:col>
      <xdr:colOff>600075</xdr:colOff>
      <xdr:row>167</xdr:row>
      <xdr:rowOff>57150</xdr:rowOff>
    </xdr:from>
    <xdr:to>
      <xdr:col>3</xdr:col>
      <xdr:colOff>95250</xdr:colOff>
      <xdr:row>167</xdr:row>
      <xdr:rowOff>57150</xdr:rowOff>
    </xdr:to>
    <xdr:sp macro="" textlink="">
      <xdr:nvSpPr>
        <xdr:cNvPr id="8895" name="Line 9"/>
        <xdr:cNvSpPr>
          <a:spLocks noChangeShapeType="1"/>
        </xdr:cNvSpPr>
      </xdr:nvSpPr>
      <xdr:spPr bwMode="auto">
        <a:xfrm>
          <a:off x="5076825" y="27698700"/>
          <a:ext cx="266700" cy="0"/>
        </a:xfrm>
        <a:prstGeom prst="line">
          <a:avLst/>
        </a:prstGeom>
        <a:noFill/>
        <a:ln w="9525">
          <a:solidFill>
            <a:srgbClr val="000000"/>
          </a:solidFill>
          <a:round/>
          <a:headEnd/>
          <a:tailEnd type="triangle" w="med" len="med"/>
        </a:ln>
      </xdr:spPr>
    </xdr:sp>
    <xdr:clientData/>
  </xdr:twoCellAnchor>
  <xdr:twoCellAnchor>
    <xdr:from>
      <xdr:col>3</xdr:col>
      <xdr:colOff>495300</xdr:colOff>
      <xdr:row>167</xdr:row>
      <xdr:rowOff>38100</xdr:rowOff>
    </xdr:from>
    <xdr:to>
      <xdr:col>3</xdr:col>
      <xdr:colOff>666750</xdr:colOff>
      <xdr:row>167</xdr:row>
      <xdr:rowOff>38100</xdr:rowOff>
    </xdr:to>
    <xdr:sp macro="" textlink="">
      <xdr:nvSpPr>
        <xdr:cNvPr id="8896" name="Line 10"/>
        <xdr:cNvSpPr>
          <a:spLocks noChangeShapeType="1"/>
        </xdr:cNvSpPr>
      </xdr:nvSpPr>
      <xdr:spPr bwMode="auto">
        <a:xfrm flipH="1">
          <a:off x="5743575" y="27679650"/>
          <a:ext cx="171450" cy="0"/>
        </a:xfrm>
        <a:prstGeom prst="line">
          <a:avLst/>
        </a:prstGeom>
        <a:noFill/>
        <a:ln w="9525">
          <a:solidFill>
            <a:srgbClr val="000000"/>
          </a:solidFill>
          <a:round/>
          <a:headEnd/>
          <a:tailEnd type="triangle" w="med" len="med"/>
        </a:ln>
      </xdr:spPr>
    </xdr:sp>
    <xdr:clientData/>
  </xdr:twoCellAnchor>
  <xdr:twoCellAnchor>
    <xdr:from>
      <xdr:col>2</xdr:col>
      <xdr:colOff>403225</xdr:colOff>
      <xdr:row>162</xdr:row>
      <xdr:rowOff>85725</xdr:rowOff>
    </xdr:from>
    <xdr:to>
      <xdr:col>2</xdr:col>
      <xdr:colOff>606476</xdr:colOff>
      <xdr:row>163</xdr:row>
      <xdr:rowOff>76200</xdr:rowOff>
    </xdr:to>
    <xdr:sp macro="" textlink="">
      <xdr:nvSpPr>
        <xdr:cNvPr id="26" name="Text Box 5"/>
        <xdr:cNvSpPr txBox="1">
          <a:spLocks noChangeArrowheads="1"/>
        </xdr:cNvSpPr>
      </xdr:nvSpPr>
      <xdr:spPr bwMode="auto">
        <a:xfrm>
          <a:off x="4886325" y="26908125"/>
          <a:ext cx="2000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H</a:t>
          </a:r>
        </a:p>
      </xdr:txBody>
    </xdr:sp>
    <xdr:clientData/>
  </xdr:twoCellAnchor>
  <xdr:twoCellAnchor>
    <xdr:from>
      <xdr:col>2</xdr:col>
      <xdr:colOff>685800</xdr:colOff>
      <xdr:row>163</xdr:row>
      <xdr:rowOff>66675</xdr:rowOff>
    </xdr:from>
    <xdr:to>
      <xdr:col>3</xdr:col>
      <xdr:colOff>657225</xdr:colOff>
      <xdr:row>163</xdr:row>
      <xdr:rowOff>66675</xdr:rowOff>
    </xdr:to>
    <xdr:sp macro="" textlink="">
      <xdr:nvSpPr>
        <xdr:cNvPr id="8898" name="Line 11"/>
        <xdr:cNvSpPr>
          <a:spLocks noChangeShapeType="1"/>
        </xdr:cNvSpPr>
      </xdr:nvSpPr>
      <xdr:spPr bwMode="auto">
        <a:xfrm>
          <a:off x="5162550" y="27060525"/>
          <a:ext cx="742950" cy="0"/>
        </a:xfrm>
        <a:prstGeom prst="line">
          <a:avLst/>
        </a:prstGeom>
        <a:noFill/>
        <a:ln w="9525">
          <a:solidFill>
            <a:srgbClr val="000000"/>
          </a:solidFill>
          <a:prstDash val="lgDashDot"/>
          <a:round/>
          <a:headEnd/>
          <a:tailEnd/>
        </a:ln>
      </xdr:spPr>
    </xdr:sp>
    <xdr:clientData/>
  </xdr:twoCellAnchor>
  <xdr:twoCellAnchor>
    <xdr:from>
      <xdr:col>3</xdr:col>
      <xdr:colOff>76200</xdr:colOff>
      <xdr:row>169</xdr:row>
      <xdr:rowOff>133350</xdr:rowOff>
    </xdr:from>
    <xdr:to>
      <xdr:col>3</xdr:col>
      <xdr:colOff>590550</xdr:colOff>
      <xdr:row>172</xdr:row>
      <xdr:rowOff>95250</xdr:rowOff>
    </xdr:to>
    <xdr:sp macro="" textlink="">
      <xdr:nvSpPr>
        <xdr:cNvPr id="8899" name="Oval 12"/>
        <xdr:cNvSpPr>
          <a:spLocks noChangeArrowheads="1"/>
        </xdr:cNvSpPr>
      </xdr:nvSpPr>
      <xdr:spPr bwMode="auto">
        <a:xfrm>
          <a:off x="5324475" y="28098750"/>
          <a:ext cx="514350" cy="466725"/>
        </a:xfrm>
        <a:prstGeom prst="ellipse">
          <a:avLst/>
        </a:prstGeom>
        <a:solidFill>
          <a:srgbClr val="FFFFFF"/>
        </a:solidFill>
        <a:ln w="9525">
          <a:solidFill>
            <a:srgbClr val="000000"/>
          </a:solidFill>
          <a:round/>
          <a:headEnd/>
          <a:tailEnd/>
        </a:ln>
      </xdr:spPr>
    </xdr:sp>
    <xdr:clientData/>
  </xdr:twoCellAnchor>
  <xdr:twoCellAnchor>
    <xdr:from>
      <xdr:col>2</xdr:col>
      <xdr:colOff>647700</xdr:colOff>
      <xdr:row>171</xdr:row>
      <xdr:rowOff>95250</xdr:rowOff>
    </xdr:from>
    <xdr:to>
      <xdr:col>3</xdr:col>
      <xdr:colOff>95250</xdr:colOff>
      <xdr:row>172</xdr:row>
      <xdr:rowOff>66675</xdr:rowOff>
    </xdr:to>
    <xdr:sp macro="" textlink="">
      <xdr:nvSpPr>
        <xdr:cNvPr id="8900" name="Line 13"/>
        <xdr:cNvSpPr>
          <a:spLocks noChangeShapeType="1"/>
        </xdr:cNvSpPr>
      </xdr:nvSpPr>
      <xdr:spPr bwMode="auto">
        <a:xfrm flipV="1">
          <a:off x="5124450" y="28403550"/>
          <a:ext cx="219075" cy="133350"/>
        </a:xfrm>
        <a:prstGeom prst="line">
          <a:avLst/>
        </a:prstGeom>
        <a:noFill/>
        <a:ln w="9525">
          <a:solidFill>
            <a:srgbClr val="000000"/>
          </a:solidFill>
          <a:round/>
          <a:headEnd/>
          <a:tailEnd type="triangle" w="med" len="med"/>
        </a:ln>
      </xdr:spPr>
    </xdr:sp>
    <xdr:clientData/>
  </xdr:twoCellAnchor>
  <xdr:twoCellAnchor>
    <xdr:from>
      <xdr:col>2</xdr:col>
      <xdr:colOff>457200</xdr:colOff>
      <xdr:row>171</xdr:row>
      <xdr:rowOff>152400</xdr:rowOff>
    </xdr:from>
    <xdr:to>
      <xdr:col>2</xdr:col>
      <xdr:colOff>650724</xdr:colOff>
      <xdr:row>173</xdr:row>
      <xdr:rowOff>0</xdr:rowOff>
    </xdr:to>
    <xdr:sp macro="" textlink="">
      <xdr:nvSpPr>
        <xdr:cNvPr id="30" name="Text Box 14"/>
        <xdr:cNvSpPr txBox="1">
          <a:spLocks noChangeArrowheads="1"/>
        </xdr:cNvSpPr>
      </xdr:nvSpPr>
      <xdr:spPr bwMode="auto">
        <a:xfrm>
          <a:off x="4933950" y="28460700"/>
          <a:ext cx="190500" cy="1714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000000"/>
              </a:solidFill>
              <a:latin typeface="Arial"/>
              <a:cs typeface="Arial"/>
            </a:rPr>
            <a:t>D</a:t>
          </a:r>
        </a:p>
      </xdr:txBody>
    </xdr:sp>
    <xdr:clientData/>
  </xdr:twoCellAnchor>
  <xdr:twoCellAnchor>
    <xdr:from>
      <xdr:col>2</xdr:col>
      <xdr:colOff>733425</xdr:colOff>
      <xdr:row>171</xdr:row>
      <xdr:rowOff>9525</xdr:rowOff>
    </xdr:from>
    <xdr:to>
      <xdr:col>3</xdr:col>
      <xdr:colOff>704850</xdr:colOff>
      <xdr:row>171</xdr:row>
      <xdr:rowOff>9525</xdr:rowOff>
    </xdr:to>
    <xdr:sp macro="" textlink="">
      <xdr:nvSpPr>
        <xdr:cNvPr id="8902" name="Line 15"/>
        <xdr:cNvSpPr>
          <a:spLocks noChangeShapeType="1"/>
        </xdr:cNvSpPr>
      </xdr:nvSpPr>
      <xdr:spPr bwMode="auto">
        <a:xfrm>
          <a:off x="5210175" y="28317825"/>
          <a:ext cx="742950" cy="0"/>
        </a:xfrm>
        <a:prstGeom prst="line">
          <a:avLst/>
        </a:prstGeom>
        <a:noFill/>
        <a:ln w="9525">
          <a:solidFill>
            <a:srgbClr val="000000"/>
          </a:solidFill>
          <a:prstDash val="lgDashDot"/>
          <a:round/>
          <a:headEnd/>
          <a:tailEnd/>
        </a:ln>
      </xdr:spPr>
    </xdr:sp>
    <xdr:clientData/>
  </xdr:twoCellAnchor>
  <xdr:twoCellAnchor>
    <xdr:from>
      <xdr:col>3</xdr:col>
      <xdr:colOff>333375</xdr:colOff>
      <xdr:row>169</xdr:row>
      <xdr:rowOff>38100</xdr:rowOff>
    </xdr:from>
    <xdr:to>
      <xdr:col>3</xdr:col>
      <xdr:colOff>333375</xdr:colOff>
      <xdr:row>173</xdr:row>
      <xdr:rowOff>85725</xdr:rowOff>
    </xdr:to>
    <xdr:sp macro="" textlink="">
      <xdr:nvSpPr>
        <xdr:cNvPr id="8903" name="Line 16"/>
        <xdr:cNvSpPr>
          <a:spLocks noChangeShapeType="1"/>
        </xdr:cNvSpPr>
      </xdr:nvSpPr>
      <xdr:spPr bwMode="auto">
        <a:xfrm>
          <a:off x="5581650" y="28003500"/>
          <a:ext cx="0" cy="714375"/>
        </a:xfrm>
        <a:prstGeom prst="line">
          <a:avLst/>
        </a:prstGeom>
        <a:noFill/>
        <a:ln w="9525">
          <a:solidFill>
            <a:srgbClr val="000000"/>
          </a:solidFill>
          <a:prstDash val="lgDashDot"/>
          <a:round/>
          <a:headEnd/>
          <a:tailEnd/>
        </a:ln>
      </xdr:spPr>
    </xdr:sp>
    <xdr:clientData/>
  </xdr:twoCellAnchor>
  <xdr:twoCellAnchor>
    <xdr:from>
      <xdr:col>0</xdr:col>
      <xdr:colOff>2178050</xdr:colOff>
      <xdr:row>94</xdr:row>
      <xdr:rowOff>41275</xdr:rowOff>
    </xdr:from>
    <xdr:to>
      <xdr:col>1</xdr:col>
      <xdr:colOff>1247862</xdr:colOff>
      <xdr:row>98</xdr:row>
      <xdr:rowOff>3175</xdr:rowOff>
    </xdr:to>
    <xdr:sp macro="" textlink="">
      <xdr:nvSpPr>
        <xdr:cNvPr id="33" name="Text Box 19"/>
        <xdr:cNvSpPr txBox="1">
          <a:spLocks noChangeArrowheads="1"/>
        </xdr:cNvSpPr>
      </xdr:nvSpPr>
      <xdr:spPr bwMode="auto">
        <a:xfrm>
          <a:off x="2181225" y="15449550"/>
          <a:ext cx="1781175" cy="609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000"/>
            </a:lnSpc>
            <a:defRPr sz="1000"/>
          </a:pPr>
          <a:r>
            <a:rPr lang="en-US" sz="1000" b="1" i="0" u="none" strike="noStrike" baseline="0">
              <a:solidFill>
                <a:srgbClr val="000000"/>
              </a:solidFill>
              <a:latin typeface="Arial"/>
              <a:cs typeface="Arial"/>
            </a:rPr>
            <a:t>Kt Table</a:t>
          </a:r>
          <a:endParaRPr lang="en-US" sz="1000" b="0" i="0" u="none" strike="noStrike" baseline="0">
            <a:solidFill>
              <a:srgbClr val="000000"/>
            </a:solidFill>
            <a:latin typeface="Arial"/>
            <a:cs typeface="Arial"/>
          </a:endParaRPr>
        </a:p>
        <a:p>
          <a:pPr algn="l" rtl="0">
            <a:lnSpc>
              <a:spcPts val="900"/>
            </a:lnSpc>
            <a:defRPr sz="1000"/>
          </a:pPr>
          <a:r>
            <a:rPr lang="en-US" sz="1000" b="0" i="0" u="none" strike="noStrike" baseline="0">
              <a:solidFill>
                <a:srgbClr val="000000"/>
              </a:solidFill>
              <a:latin typeface="Arial"/>
              <a:cs typeface="Arial"/>
            </a:rPr>
            <a:t>Geometric stress concentration factor </a:t>
          </a:r>
          <a:r>
            <a:rPr lang="en-US" sz="1000" b="1" i="0" u="none" strike="noStrike" baseline="0">
              <a:solidFill>
                <a:srgbClr val="000000"/>
              </a:solidFill>
              <a:latin typeface="Arial"/>
              <a:cs typeface="Arial"/>
            </a:rPr>
            <a:t>(Kt) </a:t>
          </a:r>
          <a:r>
            <a:rPr lang="en-US" sz="1000" b="0" i="0" u="none" strike="noStrike" baseline="0">
              <a:solidFill>
                <a:srgbClr val="000000"/>
              </a:solidFill>
              <a:latin typeface="Arial"/>
              <a:cs typeface="Arial"/>
            </a:rPr>
            <a:t>in static bending.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1809750</xdr:colOff>
      <xdr:row>24</xdr:row>
      <xdr:rowOff>47625</xdr:rowOff>
    </xdr:from>
    <xdr:to>
      <xdr:col>3</xdr:col>
      <xdr:colOff>76200</xdr:colOff>
      <xdr:row>35</xdr:row>
      <xdr:rowOff>57150</xdr:rowOff>
    </xdr:to>
    <xdr:pic>
      <xdr:nvPicPr>
        <xdr:cNvPr id="3154" name="Picture 8" descr="S-N-REVERSED"/>
        <xdr:cNvPicPr>
          <a:picLocks noChangeAspect="1" noChangeArrowheads="1"/>
        </xdr:cNvPicPr>
      </xdr:nvPicPr>
      <xdr:blipFill>
        <a:blip xmlns:r="http://schemas.openxmlformats.org/officeDocument/2006/relationships" r:embed="rId1" cstate="print"/>
        <a:srcRect/>
        <a:stretch>
          <a:fillRect/>
        </a:stretch>
      </xdr:blipFill>
      <xdr:spPr bwMode="auto">
        <a:xfrm>
          <a:off x="1809750" y="3971925"/>
          <a:ext cx="2924175" cy="1790700"/>
        </a:xfrm>
        <a:prstGeom prst="rect">
          <a:avLst/>
        </a:prstGeom>
        <a:noFill/>
        <a:ln w="9525">
          <a:noFill/>
          <a:miter lim="800000"/>
          <a:headEnd/>
          <a:tailEnd/>
        </a:ln>
      </xdr:spPr>
    </xdr:pic>
    <xdr:clientData/>
  </xdr:twoCellAnchor>
  <xdr:twoCellAnchor editAs="oneCell">
    <xdr:from>
      <xdr:col>0</xdr:col>
      <xdr:colOff>285750</xdr:colOff>
      <xdr:row>4</xdr:row>
      <xdr:rowOff>0</xdr:rowOff>
    </xdr:from>
    <xdr:to>
      <xdr:col>4</xdr:col>
      <xdr:colOff>247650</xdr:colOff>
      <xdr:row>19</xdr:row>
      <xdr:rowOff>57150</xdr:rowOff>
    </xdr:to>
    <xdr:pic>
      <xdr:nvPicPr>
        <xdr:cNvPr id="3155" name="Picture 9" descr="BEAM-FATIGUE-1"/>
        <xdr:cNvPicPr>
          <a:picLocks noChangeAspect="1" noChangeArrowheads="1"/>
        </xdr:cNvPicPr>
      </xdr:nvPicPr>
      <xdr:blipFill>
        <a:blip xmlns:r="http://schemas.openxmlformats.org/officeDocument/2006/relationships" r:embed="rId2" cstate="print"/>
        <a:srcRect/>
        <a:stretch>
          <a:fillRect/>
        </a:stretch>
      </xdr:blipFill>
      <xdr:spPr bwMode="auto">
        <a:xfrm>
          <a:off x="285750" y="685800"/>
          <a:ext cx="5334000" cy="2486025"/>
        </a:xfrm>
        <a:prstGeom prst="rect">
          <a:avLst/>
        </a:prstGeom>
        <a:noFill/>
        <a:ln w="9525">
          <a:noFill/>
          <a:miter lim="800000"/>
          <a:headEnd/>
          <a:tailEnd/>
        </a:ln>
      </xdr:spPr>
    </xdr:pic>
    <xdr:clientData/>
  </xdr:twoCellAnchor>
  <xdr:twoCellAnchor>
    <xdr:from>
      <xdr:col>6</xdr:col>
      <xdr:colOff>57150</xdr:colOff>
      <xdr:row>39</xdr:row>
      <xdr:rowOff>19050</xdr:rowOff>
    </xdr:from>
    <xdr:to>
      <xdr:col>11</xdr:col>
      <xdr:colOff>561975</xdr:colOff>
      <xdr:row>56</xdr:row>
      <xdr:rowOff>76200</xdr:rowOff>
    </xdr:to>
    <xdr:sp macro="" textlink="">
      <xdr:nvSpPr>
        <xdr:cNvPr id="4" name="TextBox 3"/>
        <xdr:cNvSpPr txBox="1"/>
      </xdr:nvSpPr>
      <xdr:spPr>
        <a:xfrm>
          <a:off x="7229475" y="6372225"/>
          <a:ext cx="4095750" cy="282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22. A steel cantilever bracket having a span of 20 in. and an ultimate tensile strength of 80,000 psi, with rectangular section: base width, b = 0.50 in, constant depth d (was D) = 1.250 in over the span of the beam. What is the cantilever beam section second moment of area at the free end?  (new) The beam root depth is 1.500 in.</a:t>
          </a:r>
        </a:p>
        <a:p>
          <a:r>
            <a:rPr lang="en-US" sz="1100">
              <a:solidFill>
                <a:schemeClr val="dk1"/>
              </a:solidFill>
              <a:latin typeface="+mn-lt"/>
              <a:ea typeface="+mn-ea"/>
              <a:cs typeface="+mn-cs"/>
            </a:rPr>
            <a:t> </a:t>
          </a:r>
        </a:p>
        <a:p>
          <a:r>
            <a:rPr lang="en-US" sz="1100">
              <a:solidFill>
                <a:schemeClr val="dk1"/>
              </a:solidFill>
              <a:latin typeface="+mn-lt"/>
              <a:ea typeface="+mn-ea"/>
              <a:cs typeface="+mn-cs"/>
            </a:rPr>
            <a:t>a. I = 0.081 in^4</a:t>
          </a:r>
        </a:p>
        <a:p>
          <a:r>
            <a:rPr lang="en-US" sz="1100">
              <a:solidFill>
                <a:schemeClr val="dk1"/>
              </a:solidFill>
              <a:latin typeface="+mn-lt"/>
              <a:ea typeface="+mn-ea"/>
              <a:cs typeface="+mn-cs"/>
            </a:rPr>
            <a:t>b. I = 0.091 in^4</a:t>
          </a:r>
        </a:p>
        <a:p>
          <a:r>
            <a:rPr lang="en-US" sz="1100">
              <a:solidFill>
                <a:schemeClr val="dk1"/>
              </a:solidFill>
              <a:latin typeface="+mn-lt"/>
              <a:ea typeface="+mn-ea"/>
              <a:cs typeface="+mn-cs"/>
            </a:rPr>
            <a:t>c. I = 0.101 in^4 ]</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1543050</xdr:colOff>
      <xdr:row>28</xdr:row>
      <xdr:rowOff>38100</xdr:rowOff>
    </xdr:from>
    <xdr:to>
      <xdr:col>2</xdr:col>
      <xdr:colOff>114300</xdr:colOff>
      <xdr:row>41</xdr:row>
      <xdr:rowOff>142875</xdr:rowOff>
    </xdr:to>
    <xdr:pic>
      <xdr:nvPicPr>
        <xdr:cNvPr id="2126" name="Picture 3" descr="S-N-FLUCTUATE"/>
        <xdr:cNvPicPr>
          <a:picLocks noChangeAspect="1" noChangeArrowheads="1"/>
        </xdr:cNvPicPr>
      </xdr:nvPicPr>
      <xdr:blipFill>
        <a:blip xmlns:r="http://schemas.openxmlformats.org/officeDocument/2006/relationships" r:embed="rId1" cstate="print"/>
        <a:srcRect/>
        <a:stretch>
          <a:fillRect/>
        </a:stretch>
      </xdr:blipFill>
      <xdr:spPr bwMode="auto">
        <a:xfrm>
          <a:off x="1543050" y="4629150"/>
          <a:ext cx="2905125" cy="2209800"/>
        </a:xfrm>
        <a:prstGeom prst="rect">
          <a:avLst/>
        </a:prstGeom>
        <a:noFill/>
        <a:ln w="9525">
          <a:noFill/>
          <a:miter lim="800000"/>
          <a:headEnd/>
          <a:tailEnd/>
        </a:ln>
      </xdr:spPr>
    </xdr:pic>
    <xdr:clientData/>
  </xdr:twoCellAnchor>
  <xdr:twoCellAnchor editAs="oneCell">
    <xdr:from>
      <xdr:col>0</xdr:col>
      <xdr:colOff>381000</xdr:colOff>
      <xdr:row>4</xdr:row>
      <xdr:rowOff>38100</xdr:rowOff>
    </xdr:from>
    <xdr:to>
      <xdr:col>4</xdr:col>
      <xdr:colOff>257175</xdr:colOff>
      <xdr:row>19</xdr:row>
      <xdr:rowOff>104775</xdr:rowOff>
    </xdr:to>
    <xdr:pic>
      <xdr:nvPicPr>
        <xdr:cNvPr id="2127" name="Picture 4" descr="BEAM-FATIGUE-1"/>
        <xdr:cNvPicPr>
          <a:picLocks noChangeAspect="1" noChangeArrowheads="1"/>
        </xdr:cNvPicPr>
      </xdr:nvPicPr>
      <xdr:blipFill>
        <a:blip xmlns:r="http://schemas.openxmlformats.org/officeDocument/2006/relationships" r:embed="rId2" cstate="print"/>
        <a:srcRect/>
        <a:stretch>
          <a:fillRect/>
        </a:stretch>
      </xdr:blipFill>
      <xdr:spPr bwMode="auto">
        <a:xfrm>
          <a:off x="381000" y="723900"/>
          <a:ext cx="5324475" cy="2495550"/>
        </a:xfrm>
        <a:prstGeom prst="rect">
          <a:avLst/>
        </a:prstGeom>
        <a:noFill/>
        <a:ln w="9525">
          <a:noFill/>
          <a:miter lim="800000"/>
          <a:headEnd/>
          <a:tailEnd/>
        </a:ln>
      </xdr:spPr>
    </xdr:pic>
    <xdr:clientData/>
  </xdr:twoCellAnchor>
  <xdr:twoCellAnchor editAs="oneCell">
    <xdr:from>
      <xdr:col>0</xdr:col>
      <xdr:colOff>914400</xdr:colOff>
      <xdr:row>163</xdr:row>
      <xdr:rowOff>114300</xdr:rowOff>
    </xdr:from>
    <xdr:to>
      <xdr:col>3</xdr:col>
      <xdr:colOff>323850</xdr:colOff>
      <xdr:row>181</xdr:row>
      <xdr:rowOff>19050</xdr:rowOff>
    </xdr:to>
    <xdr:pic>
      <xdr:nvPicPr>
        <xdr:cNvPr id="2128" name="Picture 5" descr="GOODMAN-SAFETY-FACTOR"/>
        <xdr:cNvPicPr>
          <a:picLocks noChangeAspect="1" noChangeArrowheads="1"/>
        </xdr:cNvPicPr>
      </xdr:nvPicPr>
      <xdr:blipFill>
        <a:blip xmlns:r="http://schemas.openxmlformats.org/officeDocument/2006/relationships" r:embed="rId3" cstate="print"/>
        <a:srcRect/>
        <a:stretch>
          <a:fillRect/>
        </a:stretch>
      </xdr:blipFill>
      <xdr:spPr bwMode="auto">
        <a:xfrm>
          <a:off x="914400" y="26774775"/>
          <a:ext cx="4143375" cy="28194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1447800</xdr:colOff>
      <xdr:row>16</xdr:row>
      <xdr:rowOff>9525</xdr:rowOff>
    </xdr:from>
    <xdr:to>
      <xdr:col>4</xdr:col>
      <xdr:colOff>104775</xdr:colOff>
      <xdr:row>35</xdr:row>
      <xdr:rowOff>0</xdr:rowOff>
    </xdr:to>
    <xdr:pic>
      <xdr:nvPicPr>
        <xdr:cNvPr id="5247" name="Picture 8" descr="GEAR-FORCE"/>
        <xdr:cNvPicPr>
          <a:picLocks noChangeAspect="1" noChangeArrowheads="1"/>
        </xdr:cNvPicPr>
      </xdr:nvPicPr>
      <xdr:blipFill>
        <a:blip xmlns:r="http://schemas.openxmlformats.org/officeDocument/2006/relationships" r:embed="rId1" cstate="print"/>
        <a:srcRect/>
        <a:stretch>
          <a:fillRect/>
        </a:stretch>
      </xdr:blipFill>
      <xdr:spPr bwMode="auto">
        <a:xfrm>
          <a:off x="1847850" y="2676525"/>
          <a:ext cx="3629025" cy="3067050"/>
        </a:xfrm>
        <a:prstGeom prst="rect">
          <a:avLst/>
        </a:prstGeom>
        <a:noFill/>
        <a:ln w="9525">
          <a:noFill/>
          <a:miter lim="800000"/>
          <a:headEnd/>
          <a:tailEnd/>
        </a:ln>
      </xdr:spPr>
    </xdr:pic>
    <xdr:clientData/>
  </xdr:twoCellAnchor>
  <xdr:twoCellAnchor editAs="oneCell">
    <xdr:from>
      <xdr:col>2</xdr:col>
      <xdr:colOff>57150</xdr:colOff>
      <xdr:row>53</xdr:row>
      <xdr:rowOff>133350</xdr:rowOff>
    </xdr:from>
    <xdr:to>
      <xdr:col>5</xdr:col>
      <xdr:colOff>1476375</xdr:colOff>
      <xdr:row>63</xdr:row>
      <xdr:rowOff>28575</xdr:rowOff>
    </xdr:to>
    <xdr:pic>
      <xdr:nvPicPr>
        <xdr:cNvPr id="5248" name="Picture 9" descr="S-N-CURVE-1-JA"/>
        <xdr:cNvPicPr>
          <a:picLocks noChangeAspect="1" noChangeArrowheads="1"/>
        </xdr:cNvPicPr>
      </xdr:nvPicPr>
      <xdr:blipFill>
        <a:blip xmlns:r="http://schemas.openxmlformats.org/officeDocument/2006/relationships" r:embed="rId2" cstate="print"/>
        <a:srcRect/>
        <a:stretch>
          <a:fillRect/>
        </a:stretch>
      </xdr:blipFill>
      <xdr:spPr bwMode="auto">
        <a:xfrm>
          <a:off x="3524250" y="8810625"/>
          <a:ext cx="4067175" cy="1514475"/>
        </a:xfrm>
        <a:prstGeom prst="rect">
          <a:avLst/>
        </a:prstGeom>
        <a:noFill/>
        <a:ln w="9525">
          <a:noFill/>
          <a:miter lim="800000"/>
          <a:headEnd/>
          <a:tailEnd/>
        </a:ln>
      </xdr:spPr>
    </xdr:pic>
    <xdr:clientData/>
  </xdr:twoCellAnchor>
  <xdr:twoCellAnchor editAs="oneCell">
    <xdr:from>
      <xdr:col>1</xdr:col>
      <xdr:colOff>2352675</xdr:colOff>
      <xdr:row>64</xdr:row>
      <xdr:rowOff>28575</xdr:rowOff>
    </xdr:from>
    <xdr:to>
      <xdr:col>5</xdr:col>
      <xdr:colOff>1133475</xdr:colOff>
      <xdr:row>95</xdr:row>
      <xdr:rowOff>47625</xdr:rowOff>
    </xdr:to>
    <xdr:pic>
      <xdr:nvPicPr>
        <xdr:cNvPr id="5249" name="Picture 13" descr="GEARS-Mmax-1"/>
        <xdr:cNvPicPr>
          <a:picLocks noChangeAspect="1" noChangeArrowheads="1"/>
        </xdr:cNvPicPr>
      </xdr:nvPicPr>
      <xdr:blipFill>
        <a:blip xmlns:r="http://schemas.openxmlformats.org/officeDocument/2006/relationships" r:embed="rId3" cstate="print"/>
        <a:srcRect/>
        <a:stretch>
          <a:fillRect/>
        </a:stretch>
      </xdr:blipFill>
      <xdr:spPr bwMode="auto">
        <a:xfrm>
          <a:off x="2752725" y="10487025"/>
          <a:ext cx="4495800" cy="5038725"/>
        </a:xfrm>
        <a:prstGeom prst="rect">
          <a:avLst/>
        </a:prstGeom>
        <a:noFill/>
        <a:ln w="9525">
          <a:noFill/>
          <a:miter lim="800000"/>
          <a:headEnd/>
          <a:tailEnd/>
        </a:ln>
      </xdr:spPr>
    </xdr:pic>
    <xdr:clientData/>
  </xdr:twoCellAnchor>
  <xdr:twoCellAnchor editAs="oneCell">
    <xdr:from>
      <xdr:col>1</xdr:col>
      <xdr:colOff>657225</xdr:colOff>
      <xdr:row>169</xdr:row>
      <xdr:rowOff>76200</xdr:rowOff>
    </xdr:from>
    <xdr:to>
      <xdr:col>5</xdr:col>
      <xdr:colOff>590550</xdr:colOff>
      <xdr:row>198</xdr:row>
      <xdr:rowOff>38100</xdr:rowOff>
    </xdr:to>
    <xdr:pic>
      <xdr:nvPicPr>
        <xdr:cNvPr id="5250" name="Picture 15" descr="GEARS-Mmax-2"/>
        <xdr:cNvPicPr>
          <a:picLocks noChangeAspect="1" noChangeArrowheads="1"/>
        </xdr:cNvPicPr>
      </xdr:nvPicPr>
      <xdr:blipFill>
        <a:blip xmlns:r="http://schemas.openxmlformats.org/officeDocument/2006/relationships" r:embed="rId4" cstate="print"/>
        <a:srcRect/>
        <a:stretch>
          <a:fillRect/>
        </a:stretch>
      </xdr:blipFill>
      <xdr:spPr bwMode="auto">
        <a:xfrm>
          <a:off x="1057275" y="28346400"/>
          <a:ext cx="5648325" cy="4657725"/>
        </a:xfrm>
        <a:prstGeom prst="rect">
          <a:avLst/>
        </a:prstGeom>
        <a:noFill/>
        <a:ln w="9525">
          <a:noFill/>
          <a:miter lim="800000"/>
          <a:headEnd/>
          <a:tailEnd/>
        </a:ln>
      </xdr:spPr>
    </xdr:pic>
    <xdr:clientData/>
  </xdr:twoCellAnchor>
  <xdr:twoCellAnchor editAs="oneCell">
    <xdr:from>
      <xdr:col>4</xdr:col>
      <xdr:colOff>28575</xdr:colOff>
      <xdr:row>151</xdr:row>
      <xdr:rowOff>19050</xdr:rowOff>
    </xdr:from>
    <xdr:to>
      <xdr:col>5</xdr:col>
      <xdr:colOff>1343025</xdr:colOff>
      <xdr:row>157</xdr:row>
      <xdr:rowOff>161925</xdr:rowOff>
    </xdr:to>
    <xdr:pic>
      <xdr:nvPicPr>
        <xdr:cNvPr id="5251" name="Picture 9"/>
        <xdr:cNvPicPr>
          <a:picLocks noChangeAspect="1"/>
        </xdr:cNvPicPr>
      </xdr:nvPicPr>
      <xdr:blipFill>
        <a:blip xmlns:r="http://schemas.openxmlformats.org/officeDocument/2006/relationships" r:embed="rId5" cstate="print"/>
        <a:srcRect/>
        <a:stretch>
          <a:fillRect/>
        </a:stretch>
      </xdr:blipFill>
      <xdr:spPr bwMode="auto">
        <a:xfrm>
          <a:off x="5400675" y="25022175"/>
          <a:ext cx="2057400" cy="1238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L303"/>
  <sheetViews>
    <sheetView tabSelected="1" workbookViewId="0">
      <selection activeCell="H4" sqref="H4"/>
    </sheetView>
  </sheetViews>
  <sheetFormatPr defaultRowHeight="15"/>
  <cols>
    <col min="1" max="1" width="39.140625" style="27" customWidth="1"/>
    <col min="2" max="2" width="17.42578125" style="27" customWidth="1"/>
    <col min="3" max="3" width="7.42578125" style="27" customWidth="1"/>
    <col min="4" max="4" width="13.42578125" style="27" customWidth="1"/>
    <col min="5" max="5" width="9.140625" style="28"/>
    <col min="6" max="8" width="9.140625" style="27"/>
    <col min="9" max="9" width="20.85546875" style="27" customWidth="1"/>
    <col min="10" max="16384" width="9.140625" style="27"/>
  </cols>
  <sheetData>
    <row r="1" spans="1:12" ht="18">
      <c r="A1" s="289" t="s">
        <v>697</v>
      </c>
      <c r="F1" s="192"/>
      <c r="G1" s="192"/>
      <c r="H1" s="192"/>
      <c r="I1" s="192"/>
      <c r="J1" s="192"/>
      <c r="K1" s="192"/>
    </row>
    <row r="2" spans="1:12" ht="15.75">
      <c r="A2" s="26" t="s">
        <v>698</v>
      </c>
      <c r="B2" s="359" t="s">
        <v>775</v>
      </c>
      <c r="F2" s="192"/>
      <c r="G2" s="192"/>
      <c r="H2" s="192"/>
      <c r="I2" s="192"/>
      <c r="J2" s="192"/>
      <c r="K2" s="192"/>
    </row>
    <row r="3" spans="1:12" ht="15.75">
      <c r="A3" s="26"/>
      <c r="F3" s="192"/>
      <c r="G3" s="192"/>
      <c r="H3" s="192"/>
      <c r="I3" s="192"/>
      <c r="J3" s="192"/>
      <c r="K3" s="192"/>
    </row>
    <row r="4" spans="1:12" ht="15.75">
      <c r="A4" s="26" t="s">
        <v>700</v>
      </c>
      <c r="F4" s="192"/>
      <c r="G4" s="192"/>
      <c r="H4" s="192"/>
      <c r="I4" s="192"/>
      <c r="J4" s="192"/>
      <c r="K4" s="192"/>
    </row>
    <row r="5" spans="1:12" ht="15.75">
      <c r="A5" s="26" t="s">
        <v>218</v>
      </c>
      <c r="F5" s="192"/>
      <c r="G5" s="192"/>
      <c r="H5" s="192"/>
      <c r="I5" s="192"/>
      <c r="J5" s="192"/>
      <c r="K5" s="192"/>
    </row>
    <row r="6" spans="1:12" ht="15.75">
      <c r="A6" s="26" t="s">
        <v>178</v>
      </c>
      <c r="F6" s="192"/>
      <c r="G6" s="192"/>
      <c r="H6" s="192"/>
      <c r="I6" s="192"/>
      <c r="J6" s="192"/>
      <c r="K6" s="192"/>
    </row>
    <row r="7" spans="1:12" ht="15.75">
      <c r="A7" s="29" t="s">
        <v>179</v>
      </c>
      <c r="F7" s="192"/>
      <c r="G7" s="192"/>
      <c r="H7" s="192"/>
      <c r="I7" s="192"/>
      <c r="J7" s="192"/>
      <c r="K7" s="192"/>
    </row>
    <row r="8" spans="1:12" ht="15.75">
      <c r="A8" s="26" t="s">
        <v>250</v>
      </c>
      <c r="F8" s="192"/>
      <c r="G8" s="192"/>
      <c r="H8" s="192"/>
      <c r="I8" s="192"/>
      <c r="J8" s="192"/>
      <c r="K8" s="192"/>
    </row>
    <row r="9" spans="1:12" ht="15.75">
      <c r="A9" s="26" t="s">
        <v>251</v>
      </c>
      <c r="F9" s="192"/>
      <c r="G9" s="192"/>
      <c r="H9" s="192"/>
      <c r="I9" s="192"/>
      <c r="J9" s="192"/>
      <c r="K9" s="192"/>
    </row>
    <row r="10" spans="1:12" ht="15.75">
      <c r="A10" s="26" t="s">
        <v>252</v>
      </c>
      <c r="F10" s="192"/>
      <c r="G10" s="192"/>
      <c r="H10" s="192"/>
      <c r="I10" s="192"/>
      <c r="J10" s="192"/>
      <c r="K10" s="192"/>
    </row>
    <row r="11" spans="1:12">
      <c r="F11" s="192"/>
      <c r="G11" s="192"/>
      <c r="H11" s="192"/>
      <c r="I11" s="192"/>
      <c r="J11" s="192"/>
      <c r="K11" s="192"/>
    </row>
    <row r="12" spans="1:12">
      <c r="F12" s="192"/>
      <c r="G12" s="192"/>
      <c r="H12" s="192"/>
      <c r="I12" s="192"/>
      <c r="J12" s="192"/>
      <c r="K12" s="192"/>
    </row>
    <row r="13" spans="1:12">
      <c r="F13" s="192"/>
      <c r="G13" s="192"/>
      <c r="H13" s="192"/>
      <c r="I13" s="193"/>
      <c r="J13" s="194"/>
      <c r="K13" s="194"/>
      <c r="L13" s="131"/>
    </row>
    <row r="14" spans="1:12" ht="15.75">
      <c r="A14" s="26" t="s">
        <v>699</v>
      </c>
      <c r="B14" s="39" t="s">
        <v>399</v>
      </c>
      <c r="C14" s="29" t="s">
        <v>401</v>
      </c>
      <c r="F14" s="192"/>
      <c r="G14" s="192"/>
      <c r="H14" s="192"/>
      <c r="I14" s="195"/>
      <c r="J14" s="194"/>
      <c r="K14" s="194"/>
      <c r="L14" s="131"/>
    </row>
    <row r="15" spans="1:12" ht="15.75">
      <c r="B15" s="39" t="s">
        <v>235</v>
      </c>
      <c r="C15" s="29" t="s">
        <v>402</v>
      </c>
      <c r="F15" s="192"/>
      <c r="G15" s="192"/>
      <c r="H15" s="192"/>
      <c r="I15" s="194"/>
      <c r="J15" s="194"/>
      <c r="K15" s="194"/>
      <c r="L15" s="131"/>
    </row>
    <row r="16" spans="1:12" ht="15.75">
      <c r="B16" s="39" t="s">
        <v>400</v>
      </c>
      <c r="C16" s="26" t="s">
        <v>403</v>
      </c>
      <c r="F16" s="192"/>
      <c r="G16" s="192"/>
      <c r="H16" s="192"/>
      <c r="I16" s="195"/>
      <c r="J16" s="194"/>
      <c r="K16" s="194"/>
      <c r="L16" s="131"/>
    </row>
    <row r="17" spans="1:11" ht="15.75">
      <c r="A17" s="30" t="s">
        <v>150</v>
      </c>
      <c r="B17" s="39" t="s">
        <v>238</v>
      </c>
      <c r="C17" s="29" t="s">
        <v>239</v>
      </c>
      <c r="F17" s="192"/>
      <c r="G17" s="192"/>
      <c r="H17" s="192"/>
      <c r="I17" s="192"/>
      <c r="J17" s="192"/>
      <c r="K17" s="192"/>
    </row>
    <row r="18" spans="1:11" ht="15.75">
      <c r="A18" s="31" t="s">
        <v>151</v>
      </c>
      <c r="B18" s="39" t="s">
        <v>26</v>
      </c>
      <c r="C18" s="29" t="s">
        <v>200</v>
      </c>
      <c r="F18" s="192"/>
      <c r="G18" s="192"/>
      <c r="H18" s="192"/>
      <c r="I18" s="192"/>
      <c r="J18" s="192"/>
      <c r="K18" s="192"/>
    </row>
    <row r="19" spans="1:11" ht="15.75">
      <c r="A19" s="30" t="s">
        <v>152</v>
      </c>
      <c r="B19" s="39" t="s">
        <v>253</v>
      </c>
      <c r="C19" s="26" t="s">
        <v>254</v>
      </c>
      <c r="F19" s="192"/>
      <c r="G19" s="192"/>
      <c r="H19" s="192"/>
      <c r="I19" s="192"/>
      <c r="J19" s="192"/>
      <c r="K19" s="192"/>
    </row>
    <row r="20" spans="1:11" ht="15.75">
      <c r="A20" s="32" t="s">
        <v>196</v>
      </c>
      <c r="B20" s="39" t="s">
        <v>236</v>
      </c>
      <c r="C20" s="29" t="s">
        <v>261</v>
      </c>
      <c r="F20" s="192"/>
      <c r="G20" s="192"/>
      <c r="H20" s="192"/>
      <c r="I20" s="192"/>
      <c r="J20" s="192"/>
      <c r="K20" s="192"/>
    </row>
    <row r="21" spans="1:11" ht="15.75">
      <c r="A21" s="32" t="s">
        <v>197</v>
      </c>
      <c r="B21" s="39" t="s">
        <v>237</v>
      </c>
      <c r="C21" s="29" t="s">
        <v>240</v>
      </c>
      <c r="F21" s="192"/>
      <c r="G21" s="192"/>
      <c r="H21" s="192"/>
      <c r="I21" s="192"/>
      <c r="J21" s="192"/>
      <c r="K21" s="192"/>
    </row>
    <row r="22" spans="1:11" ht="15.75">
      <c r="A22" s="42" t="s">
        <v>145</v>
      </c>
      <c r="B22" s="43" t="s">
        <v>173</v>
      </c>
      <c r="C22" s="44"/>
      <c r="D22" s="43" t="s">
        <v>174</v>
      </c>
      <c r="E22" s="8"/>
      <c r="F22" s="192"/>
      <c r="G22" s="192"/>
      <c r="H22" s="192"/>
      <c r="I22" s="196"/>
      <c r="J22" s="197"/>
      <c r="K22" s="192"/>
    </row>
    <row r="23" spans="1:11" ht="16.5" thickBot="1">
      <c r="A23" s="1" t="s">
        <v>168</v>
      </c>
      <c r="D23" s="34" t="s">
        <v>262</v>
      </c>
      <c r="E23" s="8"/>
      <c r="F23" s="192"/>
      <c r="G23" s="192"/>
      <c r="H23" s="192"/>
      <c r="I23" s="198"/>
      <c r="J23" s="197"/>
      <c r="K23" s="192"/>
    </row>
    <row r="24" spans="1:11" ht="16.5" thickBot="1">
      <c r="A24" s="184">
        <v>100</v>
      </c>
      <c r="B24" s="5">
        <v>4.4480000000000004</v>
      </c>
      <c r="C24" s="111" t="s">
        <v>141</v>
      </c>
      <c r="D24" s="22">
        <f>B24*A24</f>
        <v>444.80000000000007</v>
      </c>
      <c r="E24" s="8" t="s">
        <v>175</v>
      </c>
      <c r="F24" s="192"/>
      <c r="G24" s="192"/>
      <c r="H24" s="192"/>
      <c r="I24" s="198"/>
      <c r="J24" s="197"/>
      <c r="K24" s="192"/>
    </row>
    <row r="25" spans="1:11" ht="16.5" thickBot="1">
      <c r="A25" s="1" t="s">
        <v>167</v>
      </c>
      <c r="B25" s="5"/>
      <c r="C25" s="5"/>
      <c r="D25" s="34" t="s">
        <v>180</v>
      </c>
      <c r="E25" s="8"/>
      <c r="F25" s="192"/>
      <c r="G25" s="192"/>
      <c r="H25" s="192"/>
      <c r="I25" s="192"/>
      <c r="J25" s="197"/>
      <c r="K25" s="192"/>
    </row>
    <row r="26" spans="1:11" ht="16.5" thickBot="1">
      <c r="A26" s="184">
        <v>100</v>
      </c>
      <c r="B26" s="5">
        <v>6.8948</v>
      </c>
      <c r="C26" s="111" t="s">
        <v>141</v>
      </c>
      <c r="D26" s="22">
        <f>B26*A26</f>
        <v>689.48</v>
      </c>
      <c r="E26" s="8" t="s">
        <v>714</v>
      </c>
      <c r="F26" s="192"/>
      <c r="G26" s="192"/>
      <c r="H26" s="192"/>
      <c r="I26" s="198"/>
      <c r="J26" s="197"/>
      <c r="K26" s="192"/>
    </row>
    <row r="27" spans="1:11" ht="16.5" thickBot="1">
      <c r="A27" s="1" t="s">
        <v>167</v>
      </c>
      <c r="B27" s="5"/>
      <c r="C27" s="5"/>
      <c r="D27" s="34" t="s">
        <v>181</v>
      </c>
      <c r="E27" s="8"/>
      <c r="F27" s="192"/>
      <c r="G27" s="192"/>
      <c r="H27" s="192"/>
      <c r="I27" s="198"/>
      <c r="J27" s="197"/>
      <c r="K27" s="192"/>
    </row>
    <row r="28" spans="1:11" ht="16.5" thickBot="1">
      <c r="A28" s="184">
        <v>100</v>
      </c>
      <c r="B28" s="18">
        <v>6.8948000000000004E-3</v>
      </c>
      <c r="C28" s="111" t="s">
        <v>141</v>
      </c>
      <c r="D28" s="24">
        <f>B28*A28</f>
        <v>0.68948000000000009</v>
      </c>
      <c r="E28" s="8" t="s">
        <v>76</v>
      </c>
      <c r="F28" s="192"/>
      <c r="G28" s="192"/>
      <c r="H28" s="192"/>
      <c r="I28" s="198"/>
      <c r="J28" s="197"/>
      <c r="K28" s="192"/>
    </row>
    <row r="29" spans="1:11" ht="16.5" thickBot="1">
      <c r="A29" s="1" t="s">
        <v>169</v>
      </c>
      <c r="B29" s="5"/>
      <c r="C29" s="5"/>
      <c r="D29" s="34" t="s">
        <v>182</v>
      </c>
      <c r="E29" s="8"/>
      <c r="F29" s="192"/>
      <c r="G29" s="192"/>
      <c r="H29" s="192"/>
      <c r="I29" s="198"/>
      <c r="J29" s="197"/>
      <c r="K29" s="192"/>
    </row>
    <row r="30" spans="1:11" ht="16.5" thickBot="1">
      <c r="A30" s="184">
        <v>100</v>
      </c>
      <c r="B30" s="5">
        <v>25.4</v>
      </c>
      <c r="C30" s="111" t="s">
        <v>141</v>
      </c>
      <c r="D30" s="23">
        <f>B30*A30</f>
        <v>2540</v>
      </c>
      <c r="E30" s="8" t="s">
        <v>80</v>
      </c>
      <c r="F30" s="192"/>
      <c r="G30" s="192"/>
      <c r="H30" s="192"/>
      <c r="I30" s="198"/>
      <c r="J30" s="197"/>
      <c r="K30" s="192"/>
    </row>
    <row r="31" spans="1:11" ht="16.5" thickBot="1">
      <c r="A31" s="1" t="s">
        <v>169</v>
      </c>
      <c r="B31" s="5"/>
      <c r="C31" s="5"/>
      <c r="D31" s="34" t="s">
        <v>183</v>
      </c>
      <c r="E31" s="8"/>
      <c r="F31" s="192"/>
      <c r="G31" s="192"/>
      <c r="H31" s="192"/>
      <c r="I31" s="192"/>
      <c r="J31" s="192"/>
      <c r="K31" s="192"/>
    </row>
    <row r="32" spans="1:11" ht="16.5" thickBot="1">
      <c r="A32" s="184">
        <v>100</v>
      </c>
      <c r="B32" s="19">
        <v>2.5399999999999999E-2</v>
      </c>
      <c r="C32" s="111" t="s">
        <v>141</v>
      </c>
      <c r="D32" s="17">
        <f>B32*A32</f>
        <v>2.54</v>
      </c>
      <c r="E32" s="8" t="s">
        <v>142</v>
      </c>
      <c r="F32" s="192"/>
      <c r="G32" s="192"/>
      <c r="H32" s="192"/>
      <c r="I32" s="192"/>
      <c r="J32" s="192"/>
      <c r="K32" s="192"/>
    </row>
    <row r="33" spans="1:11" ht="16.5" thickBot="1">
      <c r="A33" s="1" t="s">
        <v>170</v>
      </c>
      <c r="B33" s="5"/>
      <c r="C33" s="5"/>
      <c r="D33" s="34" t="s">
        <v>143</v>
      </c>
      <c r="E33" s="8"/>
      <c r="F33" s="192"/>
      <c r="G33" s="192"/>
      <c r="H33" s="192"/>
      <c r="I33" s="192"/>
      <c r="J33" s="192"/>
      <c r="K33" s="192"/>
    </row>
    <row r="34" spans="1:11" ht="16.5" thickBot="1">
      <c r="A34" s="184">
        <v>100</v>
      </c>
      <c r="B34" s="20">
        <v>745.7</v>
      </c>
      <c r="C34" s="111" t="s">
        <v>141</v>
      </c>
      <c r="D34" s="22">
        <f>B34*A34</f>
        <v>74570</v>
      </c>
      <c r="E34" s="8" t="s">
        <v>176</v>
      </c>
      <c r="F34" s="192"/>
      <c r="G34" s="192"/>
      <c r="H34" s="192"/>
      <c r="I34" s="192"/>
      <c r="J34" s="192"/>
      <c r="K34" s="192"/>
    </row>
    <row r="35" spans="1:11" ht="16.5" thickBot="1">
      <c r="A35" s="1" t="s">
        <v>170</v>
      </c>
      <c r="B35" s="5"/>
      <c r="C35" s="9"/>
      <c r="D35" s="34" t="s">
        <v>146</v>
      </c>
      <c r="E35" s="8"/>
      <c r="F35" s="192"/>
      <c r="G35" s="192"/>
      <c r="H35" s="192"/>
      <c r="I35" s="192"/>
      <c r="J35" s="192"/>
      <c r="K35" s="192"/>
    </row>
    <row r="36" spans="1:11" ht="16.5" thickBot="1">
      <c r="A36" s="184">
        <v>100</v>
      </c>
      <c r="B36" s="21">
        <v>6600</v>
      </c>
      <c r="C36" s="111" t="s">
        <v>141</v>
      </c>
      <c r="D36" s="22">
        <f>B36*A36</f>
        <v>660000</v>
      </c>
      <c r="E36" s="8" t="s">
        <v>146</v>
      </c>
      <c r="F36" s="192"/>
      <c r="G36" s="192"/>
      <c r="H36" s="192"/>
      <c r="I36" s="192"/>
      <c r="J36" s="192"/>
      <c r="K36" s="192"/>
    </row>
    <row r="37" spans="1:11" ht="16.5" thickBot="1">
      <c r="A37" s="1" t="s">
        <v>171</v>
      </c>
      <c r="B37" s="5"/>
      <c r="C37" s="9"/>
      <c r="D37" s="34" t="s">
        <v>184</v>
      </c>
      <c r="E37" s="8"/>
      <c r="F37" s="192"/>
      <c r="G37" s="192"/>
      <c r="H37" s="192"/>
      <c r="I37" s="199"/>
      <c r="J37" s="200"/>
      <c r="K37" s="200"/>
    </row>
    <row r="38" spans="1:11" ht="16.5" thickBot="1">
      <c r="A38" s="184">
        <v>100</v>
      </c>
      <c r="B38" s="5">
        <v>9.5493000000000006</v>
      </c>
      <c r="C38" s="111" t="s">
        <v>141</v>
      </c>
      <c r="D38" s="22">
        <f>B38*A38</f>
        <v>954.93000000000006</v>
      </c>
      <c r="E38" s="8" t="s">
        <v>144</v>
      </c>
      <c r="F38" s="192"/>
      <c r="G38" s="192"/>
      <c r="H38" s="192"/>
      <c r="I38" s="199"/>
      <c r="J38" s="201"/>
      <c r="K38" s="201"/>
    </row>
    <row r="39" spans="1:11" ht="16.5" thickBot="1">
      <c r="A39" s="1" t="s">
        <v>172</v>
      </c>
      <c r="B39" s="5"/>
      <c r="C39" s="9"/>
      <c r="D39" s="34" t="s">
        <v>185</v>
      </c>
      <c r="E39" s="8"/>
      <c r="F39" s="192"/>
      <c r="G39" s="192"/>
      <c r="H39" s="192"/>
      <c r="I39" s="199"/>
      <c r="J39" s="201"/>
      <c r="K39" s="201"/>
    </row>
    <row r="40" spans="1:11" ht="16.5" thickBot="1">
      <c r="A40" s="184">
        <v>100</v>
      </c>
      <c r="B40" s="19">
        <v>57.2958</v>
      </c>
      <c r="C40" s="111" t="s">
        <v>141</v>
      </c>
      <c r="D40" s="24">
        <f>B40*A40</f>
        <v>5729.58</v>
      </c>
      <c r="E40" s="8" t="s">
        <v>177</v>
      </c>
      <c r="F40" s="192"/>
      <c r="G40" s="192"/>
      <c r="H40" s="192"/>
      <c r="I40" s="199"/>
      <c r="J40" s="201"/>
      <c r="K40" s="201"/>
    </row>
    <row r="41" spans="1:11" ht="15.75">
      <c r="E41" s="29"/>
      <c r="F41" s="192"/>
      <c r="G41" s="192"/>
      <c r="H41" s="192"/>
      <c r="I41" s="199"/>
      <c r="J41" s="201"/>
      <c r="K41" s="201"/>
    </row>
    <row r="42" spans="1:11" ht="15.75">
      <c r="F42" s="192"/>
      <c r="G42" s="192"/>
      <c r="H42" s="192"/>
      <c r="I42" s="199"/>
      <c r="J42" s="201"/>
      <c r="K42" s="201"/>
    </row>
    <row r="43" spans="1:11" ht="15.75">
      <c r="A43" s="29" t="s">
        <v>195</v>
      </c>
      <c r="F43" s="192"/>
      <c r="G43" s="192"/>
      <c r="H43" s="192"/>
      <c r="I43" s="199"/>
      <c r="J43" s="201"/>
      <c r="K43" s="201"/>
    </row>
    <row r="44" spans="1:11" ht="15.75">
      <c r="F44" s="192"/>
      <c r="G44" s="192"/>
      <c r="H44" s="192"/>
      <c r="I44" s="199"/>
      <c r="J44" s="201"/>
      <c r="K44" s="201"/>
    </row>
    <row r="45" spans="1:11">
      <c r="F45" s="192"/>
      <c r="G45" s="192"/>
      <c r="H45" s="192"/>
      <c r="I45" s="192"/>
      <c r="J45" s="192"/>
      <c r="K45" s="192"/>
    </row>
    <row r="46" spans="1:11">
      <c r="F46" s="192"/>
      <c r="G46" s="192"/>
      <c r="H46" s="192"/>
      <c r="I46" s="192"/>
      <c r="J46" s="192"/>
      <c r="K46" s="192"/>
    </row>
    <row r="47" spans="1:11">
      <c r="F47" s="192"/>
      <c r="G47" s="192"/>
      <c r="H47" s="192"/>
      <c r="I47" s="192"/>
      <c r="J47" s="192"/>
      <c r="K47" s="192"/>
    </row>
    <row r="48" spans="1:11">
      <c r="F48" s="192"/>
      <c r="G48" s="192"/>
      <c r="H48" s="192"/>
      <c r="I48" s="192"/>
      <c r="J48" s="192"/>
      <c r="K48" s="192"/>
    </row>
    <row r="49" spans="1:11">
      <c r="F49" s="192"/>
      <c r="G49" s="192"/>
      <c r="H49" s="192"/>
      <c r="I49" s="192"/>
      <c r="J49" s="192"/>
      <c r="K49" s="192"/>
    </row>
    <row r="50" spans="1:11" ht="15.75">
      <c r="F50" s="192"/>
      <c r="G50" s="192"/>
      <c r="H50" s="202"/>
      <c r="I50" s="192"/>
      <c r="J50" s="192"/>
      <c r="K50" s="192"/>
    </row>
    <row r="51" spans="1:11" ht="15.75">
      <c r="F51" s="192"/>
      <c r="G51" s="192"/>
      <c r="H51" s="202"/>
      <c r="I51" s="192"/>
      <c r="J51" s="192"/>
      <c r="K51" s="192"/>
    </row>
    <row r="52" spans="1:11" ht="15.75">
      <c r="F52" s="192"/>
      <c r="G52" s="192"/>
      <c r="H52" s="202"/>
      <c r="I52" s="192"/>
      <c r="J52" s="192"/>
      <c r="K52" s="192"/>
    </row>
    <row r="53" spans="1:11" ht="15.75">
      <c r="F53" s="192"/>
      <c r="G53" s="192"/>
      <c r="H53" s="202"/>
      <c r="I53" s="192"/>
      <c r="J53" s="192"/>
      <c r="K53" s="192"/>
    </row>
    <row r="54" spans="1:11" ht="15.75">
      <c r="F54" s="192"/>
      <c r="G54" s="192"/>
      <c r="H54" s="202"/>
      <c r="I54" s="192"/>
      <c r="J54" s="192"/>
      <c r="K54" s="192"/>
    </row>
    <row r="55" spans="1:11" ht="15.75">
      <c r="A55" s="27" t="s">
        <v>204</v>
      </c>
      <c r="F55" s="192"/>
      <c r="G55" s="192"/>
      <c r="H55" s="202"/>
      <c r="I55" s="192"/>
      <c r="J55" s="192"/>
      <c r="K55" s="192"/>
    </row>
    <row r="56" spans="1:11" ht="15.75">
      <c r="A56" s="27" t="s">
        <v>404</v>
      </c>
      <c r="F56" s="192"/>
      <c r="G56" s="192"/>
      <c r="H56" s="202"/>
      <c r="I56" s="192"/>
      <c r="J56" s="192"/>
      <c r="K56" s="192"/>
    </row>
    <row r="57" spans="1:11" ht="15.75">
      <c r="F57" s="192"/>
      <c r="G57" s="192"/>
      <c r="H57" s="202"/>
      <c r="I57" s="192"/>
      <c r="J57" s="192"/>
      <c r="K57" s="192"/>
    </row>
    <row r="58" spans="1:11" ht="15.75">
      <c r="F58" s="192"/>
      <c r="G58" s="192"/>
      <c r="H58" s="202"/>
      <c r="I58" s="192"/>
      <c r="J58" s="192"/>
      <c r="K58" s="192"/>
    </row>
    <row r="59" spans="1:11" ht="15.75">
      <c r="F59" s="192"/>
      <c r="G59" s="192"/>
      <c r="H59" s="202"/>
      <c r="I59" s="192"/>
      <c r="J59" s="192"/>
      <c r="K59" s="192"/>
    </row>
    <row r="60" spans="1:11">
      <c r="F60" s="192"/>
      <c r="G60" s="192"/>
      <c r="H60" s="192"/>
      <c r="I60" s="192"/>
      <c r="J60" s="192"/>
      <c r="K60" s="192"/>
    </row>
    <row r="61" spans="1:11">
      <c r="F61" s="192"/>
      <c r="G61" s="192"/>
      <c r="H61" s="192"/>
      <c r="I61" s="192"/>
      <c r="J61" s="192"/>
      <c r="K61" s="192"/>
    </row>
    <row r="62" spans="1:11">
      <c r="F62" s="192"/>
      <c r="G62" s="192"/>
      <c r="H62" s="192"/>
      <c r="I62" s="192"/>
      <c r="J62" s="192"/>
      <c r="K62" s="192"/>
    </row>
    <row r="63" spans="1:11">
      <c r="F63" s="192"/>
      <c r="G63" s="192"/>
      <c r="H63" s="192"/>
      <c r="I63" s="192"/>
      <c r="J63" s="192"/>
      <c r="K63" s="192"/>
    </row>
    <row r="64" spans="1:11">
      <c r="F64" s="192"/>
      <c r="G64" s="192"/>
      <c r="H64" s="192"/>
      <c r="I64" s="192"/>
      <c r="J64" s="192"/>
      <c r="K64" s="192"/>
    </row>
    <row r="65" spans="1:11">
      <c r="F65" s="192"/>
      <c r="G65" s="192"/>
      <c r="H65" s="192"/>
      <c r="I65" s="192"/>
      <c r="J65" s="192"/>
      <c r="K65" s="192"/>
    </row>
    <row r="66" spans="1:11">
      <c r="F66" s="192"/>
      <c r="G66" s="192"/>
      <c r="H66" s="192"/>
      <c r="I66" s="192"/>
      <c r="J66" s="192"/>
      <c r="K66" s="192"/>
    </row>
    <row r="67" spans="1:11">
      <c r="F67" s="192"/>
      <c r="G67" s="192"/>
      <c r="H67" s="192"/>
      <c r="I67" s="192"/>
      <c r="J67" s="192"/>
      <c r="K67" s="192"/>
    </row>
    <row r="68" spans="1:11">
      <c r="A68" s="27" t="s">
        <v>270</v>
      </c>
      <c r="F68" s="192"/>
      <c r="G68" s="192"/>
      <c r="H68" s="192"/>
      <c r="I68" s="192"/>
      <c r="J68" s="192"/>
      <c r="K68" s="192"/>
    </row>
    <row r="69" spans="1:11">
      <c r="A69" s="27" t="s">
        <v>215</v>
      </c>
      <c r="F69" s="192"/>
      <c r="G69" s="192"/>
      <c r="H69" s="192"/>
      <c r="I69" s="192"/>
      <c r="J69" s="192"/>
      <c r="K69" s="192"/>
    </row>
    <row r="70" spans="1:11">
      <c r="A70" s="27" t="s">
        <v>398</v>
      </c>
      <c r="F70" s="192"/>
      <c r="G70" s="192"/>
      <c r="H70" s="192"/>
      <c r="I70" s="192"/>
      <c r="J70" s="192"/>
      <c r="K70" s="192"/>
    </row>
    <row r="71" spans="1:11">
      <c r="A71" s="27" t="s">
        <v>216</v>
      </c>
      <c r="F71" s="192"/>
      <c r="G71" s="192"/>
      <c r="H71" s="192"/>
      <c r="I71" s="192"/>
      <c r="J71" s="192"/>
      <c r="K71" s="192"/>
    </row>
    <row r="72" spans="1:11">
      <c r="A72" s="27" t="s">
        <v>405</v>
      </c>
      <c r="F72" s="192"/>
      <c r="G72" s="192"/>
      <c r="H72" s="192"/>
      <c r="I72" s="192"/>
      <c r="J72" s="192"/>
      <c r="K72" s="192"/>
    </row>
    <row r="73" spans="1:11">
      <c r="F73" s="192"/>
      <c r="G73" s="192"/>
      <c r="H73" s="192"/>
      <c r="I73" s="192"/>
      <c r="J73" s="192"/>
      <c r="K73" s="192"/>
    </row>
    <row r="74" spans="1:11">
      <c r="A74" s="27" t="s">
        <v>249</v>
      </c>
      <c r="F74" s="192"/>
      <c r="G74" s="192"/>
      <c r="H74" s="192"/>
      <c r="I74" s="192"/>
      <c r="J74" s="192"/>
      <c r="K74" s="192"/>
    </row>
    <row r="75" spans="1:11">
      <c r="F75" s="192"/>
      <c r="G75" s="192"/>
      <c r="H75" s="192"/>
      <c r="I75" s="192"/>
      <c r="J75" s="192"/>
      <c r="K75" s="192"/>
    </row>
    <row r="76" spans="1:11">
      <c r="A76" s="27" t="s">
        <v>241</v>
      </c>
      <c r="F76" s="192"/>
      <c r="G76" s="192"/>
      <c r="H76" s="192"/>
      <c r="I76" s="192"/>
      <c r="J76" s="192"/>
      <c r="K76" s="192"/>
    </row>
    <row r="77" spans="1:11">
      <c r="F77" s="192"/>
      <c r="G77" s="192"/>
      <c r="H77" s="192"/>
      <c r="I77" s="192"/>
      <c r="J77" s="192"/>
      <c r="K77" s="192"/>
    </row>
    <row r="78" spans="1:11">
      <c r="A78" s="27" t="s">
        <v>242</v>
      </c>
      <c r="F78" s="192"/>
      <c r="G78" s="192"/>
      <c r="H78" s="192"/>
      <c r="I78" s="192"/>
      <c r="J78" s="192"/>
      <c r="K78" s="192"/>
    </row>
    <row r="79" spans="1:11">
      <c r="F79" s="192"/>
      <c r="G79" s="192"/>
      <c r="H79" s="192"/>
      <c r="I79" s="192"/>
      <c r="J79" s="192"/>
      <c r="K79" s="192"/>
    </row>
    <row r="80" spans="1:11">
      <c r="A80" s="27" t="s">
        <v>243</v>
      </c>
      <c r="F80" s="192"/>
      <c r="G80" s="192"/>
      <c r="H80" s="192"/>
      <c r="I80" s="192"/>
      <c r="J80" s="192"/>
      <c r="K80" s="192"/>
    </row>
    <row r="81" spans="1:11">
      <c r="F81" s="192"/>
      <c r="G81" s="192"/>
      <c r="H81" s="192"/>
      <c r="I81" s="192"/>
      <c r="J81" s="192"/>
      <c r="K81" s="192"/>
    </row>
    <row r="82" spans="1:11">
      <c r="A82" s="27" t="s">
        <v>244</v>
      </c>
      <c r="F82" s="192"/>
      <c r="G82" s="192"/>
      <c r="H82" s="192"/>
      <c r="I82" s="192"/>
      <c r="J82" s="192"/>
      <c r="K82" s="192"/>
    </row>
    <row r="83" spans="1:11">
      <c r="F83" s="192"/>
      <c r="G83" s="192"/>
      <c r="H83" s="192"/>
      <c r="I83" s="192"/>
      <c r="J83" s="192"/>
      <c r="K83" s="192"/>
    </row>
    <row r="84" spans="1:11" ht="15.75">
      <c r="A84" s="27" t="s">
        <v>245</v>
      </c>
      <c r="E84" s="29"/>
      <c r="F84" s="192"/>
      <c r="G84" s="192"/>
      <c r="H84" s="192"/>
      <c r="I84" s="192"/>
      <c r="J84" s="192"/>
      <c r="K84" s="192"/>
    </row>
    <row r="85" spans="1:11">
      <c r="F85" s="192"/>
      <c r="G85" s="192"/>
      <c r="H85" s="192"/>
      <c r="I85" s="192"/>
      <c r="J85" s="192"/>
      <c r="K85" s="192"/>
    </row>
    <row r="86" spans="1:11">
      <c r="A86" s="27" t="s">
        <v>248</v>
      </c>
      <c r="F86" s="192"/>
      <c r="G86" s="192"/>
      <c r="H86" s="192"/>
      <c r="I86" s="192"/>
      <c r="J86" s="192"/>
      <c r="K86" s="192"/>
    </row>
    <row r="87" spans="1:11">
      <c r="F87" s="192"/>
      <c r="G87" s="192"/>
      <c r="H87" s="192"/>
      <c r="I87" s="192"/>
      <c r="J87" s="192"/>
      <c r="K87" s="192"/>
    </row>
    <row r="88" spans="1:11">
      <c r="A88" s="27" t="s">
        <v>246</v>
      </c>
      <c r="F88" s="192"/>
      <c r="G88" s="192"/>
      <c r="H88" s="192"/>
      <c r="I88" s="192"/>
      <c r="J88" s="192"/>
      <c r="K88" s="192"/>
    </row>
    <row r="89" spans="1:11">
      <c r="F89" s="192"/>
      <c r="G89" s="192"/>
      <c r="H89" s="192"/>
      <c r="I89" s="192"/>
      <c r="J89" s="192"/>
      <c r="K89" s="192"/>
    </row>
    <row r="90" spans="1:11">
      <c r="A90" s="27" t="s">
        <v>263</v>
      </c>
      <c r="F90" s="192"/>
      <c r="G90" s="192"/>
      <c r="H90" s="192"/>
      <c r="I90" s="192"/>
      <c r="J90" s="192"/>
      <c r="K90" s="192"/>
    </row>
    <row r="91" spans="1:11">
      <c r="F91" s="192"/>
      <c r="G91" s="192"/>
      <c r="H91" s="192"/>
      <c r="I91" s="192"/>
      <c r="J91" s="192"/>
      <c r="K91" s="192"/>
    </row>
    <row r="92" spans="1:11" ht="15.75">
      <c r="A92" s="26" t="s">
        <v>206</v>
      </c>
      <c r="F92" s="192"/>
      <c r="G92" s="192"/>
      <c r="H92" s="192"/>
      <c r="I92" s="192"/>
      <c r="J92" s="192"/>
      <c r="K92" s="192"/>
    </row>
    <row r="93" spans="1:11">
      <c r="A93" s="27" t="s">
        <v>406</v>
      </c>
      <c r="F93" s="192"/>
      <c r="G93" s="192"/>
      <c r="H93" s="192"/>
      <c r="I93" s="192"/>
      <c r="J93" s="192"/>
      <c r="K93" s="192"/>
    </row>
    <row r="94" spans="1:11">
      <c r="A94" s="27" t="s">
        <v>234</v>
      </c>
      <c r="F94" s="192"/>
      <c r="G94" s="192"/>
      <c r="H94" s="192"/>
      <c r="I94" s="192"/>
      <c r="J94" s="192"/>
      <c r="K94" s="192"/>
    </row>
    <row r="95" spans="1:11">
      <c r="A95" s="27" t="s">
        <v>217</v>
      </c>
      <c r="F95" s="192"/>
      <c r="G95" s="192"/>
      <c r="H95" s="192"/>
      <c r="I95" s="192"/>
      <c r="J95" s="192"/>
      <c r="K95" s="192"/>
    </row>
    <row r="96" spans="1:11">
      <c r="A96" s="27" t="s">
        <v>233</v>
      </c>
      <c r="F96" s="192"/>
      <c r="G96" s="192"/>
      <c r="H96" s="192"/>
      <c r="I96" s="192"/>
      <c r="J96" s="192"/>
      <c r="K96" s="192"/>
    </row>
    <row r="97" spans="1:11">
      <c r="F97" s="192"/>
      <c r="G97" s="192"/>
      <c r="H97" s="192"/>
      <c r="I97" s="192"/>
      <c r="J97" s="192"/>
      <c r="K97" s="192"/>
    </row>
    <row r="98" spans="1:11" ht="18.75">
      <c r="A98" s="39" t="s">
        <v>208</v>
      </c>
      <c r="B98" s="26" t="s">
        <v>255</v>
      </c>
      <c r="F98" s="192"/>
      <c r="G98" s="192"/>
      <c r="H98" s="192"/>
      <c r="I98" s="192"/>
      <c r="J98" s="192"/>
      <c r="K98" s="192"/>
    </row>
    <row r="99" spans="1:11" ht="18.75">
      <c r="A99" s="39" t="s">
        <v>424</v>
      </c>
      <c r="B99" s="26" t="s">
        <v>256</v>
      </c>
      <c r="F99" s="192"/>
      <c r="G99" s="192"/>
      <c r="H99" s="192"/>
      <c r="I99" s="192"/>
      <c r="J99" s="192"/>
      <c r="K99" s="192"/>
    </row>
    <row r="100" spans="1:11" ht="15.75">
      <c r="A100" s="39" t="s">
        <v>209</v>
      </c>
      <c r="B100" s="26" t="s">
        <v>210</v>
      </c>
      <c r="F100" s="192"/>
      <c r="G100" s="192"/>
      <c r="H100" s="192"/>
      <c r="I100" s="192"/>
      <c r="J100" s="192"/>
      <c r="K100" s="192"/>
    </row>
    <row r="101" spans="1:11">
      <c r="F101" s="192"/>
      <c r="G101" s="192"/>
      <c r="H101" s="192"/>
      <c r="I101" s="192"/>
      <c r="J101" s="192"/>
      <c r="K101" s="192"/>
    </row>
    <row r="102" spans="1:11" ht="15.75">
      <c r="A102" s="26" t="s">
        <v>205</v>
      </c>
      <c r="F102" s="192"/>
      <c r="G102" s="192"/>
      <c r="H102" s="192"/>
      <c r="I102" s="192"/>
      <c r="J102" s="192"/>
      <c r="K102" s="192"/>
    </row>
    <row r="103" spans="1:11">
      <c r="A103" s="27" t="s">
        <v>257</v>
      </c>
      <c r="F103" s="192"/>
      <c r="G103" s="192"/>
      <c r="H103" s="192"/>
      <c r="I103" s="192"/>
      <c r="J103" s="192"/>
      <c r="K103" s="192"/>
    </row>
    <row r="104" spans="1:11">
      <c r="A104" s="27" t="s">
        <v>258</v>
      </c>
      <c r="F104" s="192"/>
      <c r="G104" s="192"/>
      <c r="H104" s="192"/>
      <c r="I104" s="192"/>
      <c r="J104" s="192"/>
      <c r="K104" s="192"/>
    </row>
    <row r="105" spans="1:11">
      <c r="A105" s="27" t="s">
        <v>207</v>
      </c>
      <c r="F105" s="192"/>
      <c r="G105" s="192"/>
      <c r="H105" s="192"/>
      <c r="I105" s="192"/>
      <c r="J105" s="192"/>
      <c r="K105" s="192"/>
    </row>
    <row r="106" spans="1:11" ht="16.5" thickBot="1">
      <c r="B106" s="102" t="s">
        <v>54</v>
      </c>
      <c r="F106" s="192"/>
      <c r="G106" s="192"/>
      <c r="H106" s="192"/>
      <c r="I106" s="192"/>
      <c r="J106" s="192"/>
      <c r="K106" s="192"/>
    </row>
    <row r="107" spans="1:11">
      <c r="A107" s="40" t="s">
        <v>211</v>
      </c>
      <c r="B107" s="185">
        <v>50000</v>
      </c>
      <c r="C107" s="27" t="s">
        <v>42</v>
      </c>
      <c r="F107" s="192"/>
      <c r="G107" s="192"/>
      <c r="H107" s="192"/>
      <c r="I107" s="192"/>
      <c r="J107" s="192"/>
      <c r="K107" s="192"/>
    </row>
    <row r="108" spans="1:11">
      <c r="A108" s="40" t="s">
        <v>505</v>
      </c>
      <c r="B108" s="186">
        <v>20000</v>
      </c>
      <c r="C108" s="27" t="s">
        <v>42</v>
      </c>
      <c r="F108" s="192"/>
      <c r="G108" s="192"/>
      <c r="H108" s="192"/>
      <c r="I108" s="192"/>
      <c r="J108" s="192"/>
      <c r="K108" s="192"/>
    </row>
    <row r="109" spans="1:11" ht="15.75" thickBot="1">
      <c r="A109" s="40" t="s">
        <v>400</v>
      </c>
      <c r="B109" s="187">
        <v>2000</v>
      </c>
      <c r="C109" s="27" t="s">
        <v>42</v>
      </c>
      <c r="F109" s="192"/>
      <c r="G109" s="192"/>
      <c r="H109" s="192"/>
      <c r="I109" s="192"/>
      <c r="J109" s="192"/>
      <c r="K109" s="192"/>
    </row>
    <row r="110" spans="1:11" ht="15.75">
      <c r="B110" s="102" t="s">
        <v>447</v>
      </c>
      <c r="F110" s="192"/>
      <c r="G110" s="192"/>
      <c r="H110" s="192"/>
      <c r="I110" s="192"/>
      <c r="J110" s="192"/>
      <c r="K110" s="192"/>
    </row>
    <row r="111" spans="1:11" ht="18.75">
      <c r="A111" s="39" t="s">
        <v>506</v>
      </c>
      <c r="B111" s="26" t="s">
        <v>255</v>
      </c>
      <c r="C111" s="26"/>
      <c r="D111" s="26"/>
      <c r="F111" s="192"/>
      <c r="G111" s="192"/>
      <c r="H111" s="192"/>
      <c r="I111" s="192"/>
      <c r="J111" s="192"/>
      <c r="K111" s="192"/>
    </row>
    <row r="112" spans="1:11" ht="15.75">
      <c r="A112" s="39" t="s">
        <v>212</v>
      </c>
      <c r="B112" s="21">
        <f>(($B$108+$B$107)/2)+((($B$108-$B$107)/2)^2+$B$109^2)^0.5</f>
        <v>50132.745950421559</v>
      </c>
      <c r="C112" s="26" t="s">
        <v>42</v>
      </c>
      <c r="F112" s="192"/>
      <c r="G112" s="192"/>
      <c r="H112" s="192"/>
      <c r="I112" s="192"/>
      <c r="J112" s="192"/>
      <c r="K112" s="192"/>
    </row>
    <row r="113" spans="1:11">
      <c r="F113" s="192"/>
      <c r="G113" s="192"/>
      <c r="H113" s="192"/>
      <c r="I113" s="192"/>
      <c r="J113" s="192"/>
      <c r="K113" s="192"/>
    </row>
    <row r="114" spans="1:11" ht="18.75">
      <c r="A114" s="39" t="s">
        <v>507</v>
      </c>
      <c r="B114" s="26" t="s">
        <v>509</v>
      </c>
      <c r="F114" s="192"/>
      <c r="G114" s="192"/>
      <c r="H114" s="192"/>
      <c r="I114" s="192"/>
      <c r="J114" s="192"/>
      <c r="K114" s="192"/>
    </row>
    <row r="115" spans="1:11" ht="15.75">
      <c r="A115" s="39" t="s">
        <v>214</v>
      </c>
      <c r="B115" s="21">
        <f>(($B$108+$B$107)/2)-((($B$108-$B$107)/2)^2+$B$109^2)^0.5</f>
        <v>19867.254049578441</v>
      </c>
      <c r="C115" s="26" t="s">
        <v>42</v>
      </c>
      <c r="F115" s="192"/>
      <c r="G115" s="192"/>
      <c r="H115" s="192"/>
      <c r="I115" s="192"/>
      <c r="J115" s="192"/>
      <c r="K115" s="192"/>
    </row>
    <row r="116" spans="1:11" ht="15.75">
      <c r="C116" s="26"/>
      <c r="F116" s="192"/>
      <c r="G116" s="192"/>
      <c r="H116" s="192"/>
      <c r="I116" s="192"/>
      <c r="J116" s="192"/>
      <c r="K116" s="192"/>
    </row>
    <row r="117" spans="1:11" ht="15.75">
      <c r="A117" s="39" t="s">
        <v>508</v>
      </c>
      <c r="F117" s="192"/>
      <c r="G117" s="192"/>
      <c r="H117" s="192"/>
      <c r="I117" s="192"/>
      <c r="J117" s="192"/>
      <c r="K117" s="192"/>
    </row>
    <row r="118" spans="1:11" ht="18.75">
      <c r="A118" s="39" t="s">
        <v>213</v>
      </c>
      <c r="B118" s="38" t="s">
        <v>510</v>
      </c>
      <c r="F118" s="192"/>
      <c r="G118" s="192"/>
      <c r="H118" s="192"/>
      <c r="I118" s="192"/>
      <c r="J118" s="192"/>
      <c r="K118" s="192"/>
    </row>
    <row r="119" spans="1:11" ht="15.75">
      <c r="A119" s="39" t="s">
        <v>213</v>
      </c>
      <c r="B119" s="21">
        <f>(B112-B115)/ 2</f>
        <v>15132.745950421559</v>
      </c>
      <c r="F119" s="192"/>
      <c r="G119" s="192"/>
      <c r="H119" s="192"/>
      <c r="I119" s="192"/>
      <c r="J119" s="192"/>
      <c r="K119" s="192"/>
    </row>
    <row r="120" spans="1:11">
      <c r="F120" s="192"/>
      <c r="G120" s="192"/>
      <c r="H120" s="192"/>
      <c r="I120" s="192"/>
      <c r="J120" s="192"/>
      <c r="K120" s="192"/>
    </row>
    <row r="121" spans="1:11" ht="15.75">
      <c r="A121" s="39" t="s">
        <v>198</v>
      </c>
      <c r="B121" s="38" t="s">
        <v>200</v>
      </c>
      <c r="C121" s="38" t="s">
        <v>199</v>
      </c>
      <c r="F121" s="192"/>
      <c r="G121" s="192"/>
      <c r="H121" s="192"/>
      <c r="I121" s="192"/>
      <c r="J121" s="192"/>
      <c r="K121" s="192"/>
    </row>
    <row r="122" spans="1:11">
      <c r="B122" s="33" t="s">
        <v>203</v>
      </c>
      <c r="C122" s="13">
        <v>1.333</v>
      </c>
      <c r="F122" s="192"/>
      <c r="G122" s="192"/>
      <c r="H122" s="192"/>
      <c r="I122" s="192"/>
      <c r="J122" s="192"/>
      <c r="K122" s="192"/>
    </row>
    <row r="123" spans="1:11">
      <c r="B123" s="33" t="s">
        <v>201</v>
      </c>
      <c r="C123" s="13">
        <v>2</v>
      </c>
      <c r="F123" s="192"/>
      <c r="G123" s="192"/>
      <c r="H123" s="192"/>
      <c r="I123" s="192"/>
      <c r="J123" s="192"/>
      <c r="K123" s="192"/>
    </row>
    <row r="124" spans="1:11">
      <c r="B124" s="33" t="s">
        <v>202</v>
      </c>
      <c r="C124" s="13">
        <v>1.5</v>
      </c>
      <c r="F124" s="192"/>
      <c r="G124" s="192"/>
      <c r="H124" s="192"/>
      <c r="I124" s="192"/>
      <c r="J124" s="192"/>
      <c r="K124" s="192"/>
    </row>
    <row r="125" spans="1:11">
      <c r="A125" s="27" t="s">
        <v>247</v>
      </c>
      <c r="F125" s="192"/>
      <c r="G125" s="192"/>
      <c r="H125" s="192"/>
      <c r="I125" s="192"/>
      <c r="J125" s="192"/>
      <c r="K125" s="192"/>
    </row>
    <row r="126" spans="1:11" ht="15.75">
      <c r="E126" s="29"/>
      <c r="F126" s="192"/>
      <c r="G126" s="192"/>
      <c r="H126" s="192"/>
      <c r="I126" s="192"/>
      <c r="J126" s="192"/>
      <c r="K126" s="192"/>
    </row>
    <row r="127" spans="1:11" ht="15.75">
      <c r="A127" s="29" t="s">
        <v>219</v>
      </c>
      <c r="F127" s="192"/>
      <c r="G127" s="192"/>
      <c r="H127" s="192"/>
      <c r="I127" s="192"/>
      <c r="J127" s="192"/>
      <c r="K127" s="192"/>
    </row>
    <row r="128" spans="1:11">
      <c r="A128" s="27" t="s">
        <v>220</v>
      </c>
      <c r="F128" s="192"/>
      <c r="G128" s="192"/>
      <c r="H128" s="192"/>
      <c r="I128" s="192"/>
      <c r="J128" s="192"/>
      <c r="K128" s="192"/>
    </row>
    <row r="129" spans="1:11">
      <c r="A129" s="27" t="s">
        <v>221</v>
      </c>
      <c r="B129" s="41"/>
      <c r="C129" s="41"/>
      <c r="D129" s="41"/>
      <c r="F129" s="192"/>
      <c r="G129" s="192"/>
      <c r="H129" s="192"/>
      <c r="I129" s="192"/>
      <c r="J129" s="192"/>
      <c r="K129" s="192"/>
    </row>
    <row r="130" spans="1:11">
      <c r="B130" s="41"/>
      <c r="C130" s="41"/>
      <c r="D130" s="41"/>
      <c r="F130" s="192"/>
      <c r="G130" s="192"/>
      <c r="H130" s="192"/>
      <c r="I130" s="192"/>
      <c r="J130" s="192"/>
      <c r="K130" s="192"/>
    </row>
    <row r="131" spans="1:11" ht="15.75">
      <c r="A131" s="26" t="s">
        <v>409</v>
      </c>
      <c r="C131" s="41"/>
      <c r="D131" s="41"/>
      <c r="F131" s="192"/>
      <c r="G131" s="192"/>
      <c r="H131" s="192"/>
      <c r="I131" s="192"/>
      <c r="J131" s="192"/>
      <c r="K131" s="192"/>
    </row>
    <row r="132" spans="1:11">
      <c r="A132" s="27" t="s">
        <v>407</v>
      </c>
      <c r="B132" s="41"/>
      <c r="C132" s="41"/>
      <c r="F132" s="192"/>
      <c r="G132" s="192"/>
      <c r="H132" s="192"/>
      <c r="I132" s="192"/>
      <c r="J132" s="192"/>
      <c r="K132" s="192"/>
    </row>
    <row r="133" spans="1:11">
      <c r="A133" s="27" t="s">
        <v>408</v>
      </c>
      <c r="B133" s="41"/>
      <c r="C133" s="41"/>
      <c r="F133" s="192"/>
      <c r="G133" s="192"/>
      <c r="H133" s="192"/>
      <c r="I133" s="192"/>
      <c r="J133" s="192"/>
      <c r="K133" s="192"/>
    </row>
    <row r="134" spans="1:11">
      <c r="A134" s="40"/>
      <c r="B134" s="41"/>
      <c r="C134" s="41"/>
      <c r="F134" s="192"/>
      <c r="G134" s="192"/>
      <c r="H134" s="192"/>
      <c r="I134" s="192"/>
      <c r="J134" s="192"/>
      <c r="K134" s="192"/>
    </row>
    <row r="135" spans="1:11" ht="15.75">
      <c r="A135" s="26" t="s">
        <v>410</v>
      </c>
      <c r="C135" s="41"/>
      <c r="D135" s="41"/>
      <c r="F135" s="192"/>
      <c r="G135" s="192"/>
      <c r="H135" s="192"/>
      <c r="I135" s="192"/>
      <c r="J135" s="192"/>
      <c r="K135" s="192"/>
    </row>
    <row r="136" spans="1:11">
      <c r="A136" s="27" t="s">
        <v>411</v>
      </c>
      <c r="F136" s="192"/>
      <c r="G136" s="192"/>
      <c r="H136" s="192"/>
      <c r="I136" s="192"/>
      <c r="J136" s="192"/>
      <c r="K136" s="192"/>
    </row>
    <row r="137" spans="1:11">
      <c r="A137" s="27" t="s">
        <v>228</v>
      </c>
      <c r="F137" s="192"/>
      <c r="G137" s="192"/>
      <c r="H137" s="192"/>
      <c r="I137" s="192"/>
      <c r="J137" s="192"/>
      <c r="K137" s="192"/>
    </row>
    <row r="138" spans="1:11">
      <c r="A138" s="27" t="s">
        <v>222</v>
      </c>
      <c r="F138" s="192"/>
      <c r="G138" s="192"/>
      <c r="H138" s="192"/>
      <c r="I138" s="192"/>
      <c r="J138" s="192"/>
      <c r="K138" s="192"/>
    </row>
    <row r="139" spans="1:11">
      <c r="A139" s="61" t="s">
        <v>231</v>
      </c>
      <c r="F139" s="192"/>
      <c r="G139" s="192"/>
      <c r="H139" s="192"/>
      <c r="I139" s="192"/>
      <c r="J139" s="192"/>
      <c r="K139" s="192"/>
    </row>
    <row r="140" spans="1:11">
      <c r="A140" s="61" t="s">
        <v>229</v>
      </c>
      <c r="F140" s="192"/>
      <c r="G140" s="192"/>
      <c r="H140" s="192"/>
      <c r="I140" s="192"/>
      <c r="J140" s="192"/>
      <c r="K140" s="192"/>
    </row>
    <row r="141" spans="1:11" ht="15.75">
      <c r="A141" s="39" t="s">
        <v>230</v>
      </c>
      <c r="B141" s="26" t="s">
        <v>423</v>
      </c>
      <c r="F141" s="192"/>
      <c r="G141" s="192"/>
      <c r="H141" s="192"/>
      <c r="I141" s="192"/>
      <c r="J141" s="192"/>
      <c r="K141" s="192"/>
    </row>
    <row r="142" spans="1:11">
      <c r="F142" s="192"/>
      <c r="G142" s="192"/>
      <c r="H142" s="192"/>
      <c r="I142" s="192"/>
      <c r="J142" s="192"/>
      <c r="K142" s="192"/>
    </row>
    <row r="143" spans="1:11" ht="15.75">
      <c r="A143" s="39" t="s">
        <v>230</v>
      </c>
      <c r="B143" s="26" t="s">
        <v>227</v>
      </c>
      <c r="F143" s="192"/>
      <c r="G143" s="192"/>
      <c r="H143" s="192"/>
      <c r="I143" s="192"/>
      <c r="J143" s="192"/>
      <c r="K143" s="192"/>
    </row>
    <row r="144" spans="1:11">
      <c r="F144" s="192"/>
      <c r="G144" s="192"/>
      <c r="H144" s="192"/>
      <c r="I144" s="192"/>
      <c r="J144" s="192"/>
      <c r="K144" s="192"/>
    </row>
    <row r="145" spans="1:11" ht="15.75">
      <c r="A145" s="39" t="s">
        <v>232</v>
      </c>
      <c r="B145" s="26" t="s">
        <v>416</v>
      </c>
      <c r="F145" s="192"/>
      <c r="G145" s="192"/>
      <c r="H145" s="192"/>
      <c r="I145" s="192"/>
      <c r="J145" s="192"/>
      <c r="K145" s="192"/>
    </row>
    <row r="146" spans="1:11" ht="15.75">
      <c r="A146" s="39" t="s">
        <v>417</v>
      </c>
      <c r="B146" s="26" t="s">
        <v>260</v>
      </c>
      <c r="F146" s="192"/>
      <c r="G146" s="192"/>
      <c r="H146" s="192"/>
      <c r="I146" s="192"/>
      <c r="J146" s="192"/>
      <c r="K146" s="192"/>
    </row>
    <row r="147" spans="1:11">
      <c r="A147" s="27" t="s">
        <v>412</v>
      </c>
      <c r="F147" s="192"/>
      <c r="G147" s="192"/>
      <c r="H147" s="192"/>
      <c r="I147" s="192"/>
      <c r="J147" s="192"/>
      <c r="K147" s="192"/>
    </row>
    <row r="148" spans="1:11" ht="15.75">
      <c r="A148" s="39" t="s">
        <v>413</v>
      </c>
      <c r="B148" s="26" t="s">
        <v>414</v>
      </c>
      <c r="F148" s="192"/>
      <c r="G148" s="192"/>
      <c r="H148" s="192"/>
      <c r="I148" s="192"/>
      <c r="J148" s="192"/>
      <c r="K148" s="192"/>
    </row>
    <row r="149" spans="1:11">
      <c r="A149" s="40" t="s">
        <v>419</v>
      </c>
      <c r="B149" s="27" t="s">
        <v>416</v>
      </c>
      <c r="F149" s="192"/>
      <c r="G149" s="192"/>
      <c r="H149" s="192"/>
      <c r="I149" s="192"/>
      <c r="J149" s="192"/>
      <c r="K149" s="192"/>
    </row>
    <row r="150" spans="1:11">
      <c r="A150" s="40" t="s">
        <v>415</v>
      </c>
      <c r="B150" s="27" t="s">
        <v>418</v>
      </c>
      <c r="F150" s="192"/>
      <c r="G150" s="192"/>
      <c r="H150" s="192"/>
      <c r="I150" s="192"/>
      <c r="J150" s="192"/>
      <c r="K150" s="192"/>
    </row>
    <row r="151" spans="1:11">
      <c r="A151" s="40" t="s">
        <v>415</v>
      </c>
      <c r="B151" s="27" t="s">
        <v>421</v>
      </c>
      <c r="F151" s="192"/>
      <c r="G151" s="192"/>
      <c r="H151" s="192"/>
      <c r="I151" s="192"/>
      <c r="J151" s="192"/>
      <c r="K151" s="192"/>
    </row>
    <row r="152" spans="1:11" ht="15.75">
      <c r="A152" s="39" t="s">
        <v>259</v>
      </c>
      <c r="B152" s="29" t="s">
        <v>420</v>
      </c>
      <c r="F152" s="192"/>
      <c r="G152" s="192"/>
      <c r="H152" s="192"/>
      <c r="I152" s="192"/>
      <c r="J152" s="192"/>
      <c r="K152" s="192"/>
    </row>
    <row r="153" spans="1:11">
      <c r="F153" s="192"/>
      <c r="G153" s="192"/>
      <c r="H153" s="192"/>
      <c r="I153" s="192"/>
      <c r="J153" s="192"/>
      <c r="K153" s="192"/>
    </row>
    <row r="154" spans="1:11">
      <c r="F154" s="192"/>
      <c r="G154" s="192"/>
      <c r="H154" s="192"/>
      <c r="I154" s="192"/>
      <c r="J154" s="192"/>
      <c r="K154" s="192"/>
    </row>
    <row r="155" spans="1:11">
      <c r="F155" s="192"/>
      <c r="G155" s="192"/>
      <c r="H155" s="192"/>
      <c r="I155" s="192"/>
      <c r="J155" s="192"/>
      <c r="K155" s="192"/>
    </row>
    <row r="156" spans="1:11">
      <c r="F156" s="192"/>
      <c r="G156" s="192"/>
      <c r="H156" s="192"/>
      <c r="I156" s="192"/>
      <c r="J156" s="192"/>
      <c r="K156" s="192"/>
    </row>
    <row r="157" spans="1:11">
      <c r="F157" s="192"/>
      <c r="G157" s="192"/>
      <c r="H157" s="192"/>
      <c r="I157" s="192"/>
      <c r="J157" s="192"/>
      <c r="K157" s="192"/>
    </row>
    <row r="158" spans="1:11">
      <c r="F158" s="192"/>
      <c r="G158" s="192"/>
      <c r="H158" s="192"/>
      <c r="I158" s="192"/>
      <c r="J158" s="192"/>
      <c r="K158" s="192"/>
    </row>
    <row r="159" spans="1:11">
      <c r="F159" s="192"/>
      <c r="G159" s="192"/>
      <c r="H159" s="192"/>
      <c r="I159" s="192"/>
      <c r="J159" s="192"/>
      <c r="K159" s="192"/>
    </row>
    <row r="160" spans="1:11">
      <c r="F160" s="192"/>
      <c r="G160" s="192"/>
      <c r="H160" s="192"/>
      <c r="I160" s="192"/>
      <c r="J160" s="192"/>
      <c r="K160" s="192"/>
    </row>
    <row r="161" spans="1:11">
      <c r="F161" s="192"/>
      <c r="G161" s="192"/>
      <c r="H161" s="192"/>
      <c r="I161" s="192"/>
      <c r="J161" s="192"/>
      <c r="K161" s="192"/>
    </row>
    <row r="162" spans="1:11">
      <c r="F162" s="192"/>
      <c r="G162" s="192"/>
      <c r="H162" s="192"/>
      <c r="I162" s="192"/>
      <c r="J162" s="192"/>
      <c r="K162" s="192"/>
    </row>
    <row r="163" spans="1:11">
      <c r="F163" s="192"/>
      <c r="G163" s="192"/>
      <c r="H163" s="192"/>
      <c r="I163" s="192"/>
      <c r="J163" s="192"/>
      <c r="K163" s="192"/>
    </row>
    <row r="164" spans="1:11">
      <c r="F164" s="192"/>
      <c r="G164" s="192"/>
      <c r="H164" s="192"/>
      <c r="I164" s="192"/>
      <c r="J164" s="192"/>
      <c r="K164" s="192"/>
    </row>
    <row r="165" spans="1:11">
      <c r="F165" s="192"/>
      <c r="G165" s="192"/>
      <c r="H165" s="192"/>
      <c r="I165" s="192"/>
      <c r="J165" s="192"/>
      <c r="K165" s="192"/>
    </row>
    <row r="166" spans="1:11">
      <c r="F166" s="192"/>
      <c r="G166" s="192"/>
      <c r="H166" s="192"/>
      <c r="I166" s="192"/>
      <c r="J166" s="192"/>
      <c r="K166" s="192"/>
    </row>
    <row r="167" spans="1:11">
      <c r="F167" s="192"/>
      <c r="G167" s="192"/>
      <c r="H167" s="192"/>
      <c r="I167" s="192"/>
      <c r="J167" s="192"/>
      <c r="K167" s="192"/>
    </row>
    <row r="168" spans="1:11">
      <c r="F168" s="192"/>
      <c r="G168" s="192"/>
      <c r="H168" s="192"/>
      <c r="I168" s="192"/>
      <c r="J168" s="192"/>
      <c r="K168" s="192"/>
    </row>
    <row r="169" spans="1:11" ht="15.75">
      <c r="E169" s="39"/>
      <c r="F169" s="192"/>
      <c r="G169" s="192"/>
      <c r="H169" s="192"/>
      <c r="I169" s="192"/>
      <c r="J169" s="192"/>
      <c r="K169" s="192"/>
    </row>
    <row r="170" spans="1:11" ht="16.5" thickBot="1">
      <c r="A170" s="29" t="s">
        <v>513</v>
      </c>
      <c r="B170" s="102" t="s">
        <v>121</v>
      </c>
      <c r="F170" s="192"/>
      <c r="G170" s="192"/>
      <c r="H170" s="192"/>
      <c r="I170" s="192"/>
      <c r="J170" s="192"/>
      <c r="K170" s="192"/>
    </row>
    <row r="171" spans="1:11">
      <c r="A171" s="40" t="s">
        <v>212</v>
      </c>
      <c r="B171" s="189">
        <v>4000</v>
      </c>
      <c r="C171" s="27" t="s">
        <v>42</v>
      </c>
      <c r="F171" s="192"/>
      <c r="G171" s="192"/>
      <c r="H171" s="192"/>
      <c r="I171" s="192"/>
      <c r="J171" s="192"/>
      <c r="K171" s="192"/>
    </row>
    <row r="172" spans="1:11" ht="15.75" thickBot="1">
      <c r="A172" s="40" t="s">
        <v>212</v>
      </c>
      <c r="B172" s="191">
        <v>2000</v>
      </c>
      <c r="C172" s="27" t="s">
        <v>42</v>
      </c>
      <c r="F172" s="192"/>
      <c r="G172" s="192"/>
      <c r="H172" s="192"/>
      <c r="I172" s="192"/>
      <c r="J172" s="192"/>
      <c r="K172" s="192"/>
    </row>
    <row r="173" spans="1:11" ht="15.75">
      <c r="B173" s="102" t="s">
        <v>447</v>
      </c>
      <c r="F173" s="192"/>
      <c r="G173" s="192"/>
      <c r="H173" s="192"/>
      <c r="I173" s="192"/>
      <c r="J173" s="192"/>
      <c r="K173" s="192"/>
    </row>
    <row r="174" spans="1:11" ht="15.75">
      <c r="A174" s="39" t="s">
        <v>230</v>
      </c>
      <c r="B174" s="26" t="s">
        <v>423</v>
      </c>
      <c r="F174" s="192"/>
      <c r="G174" s="192"/>
      <c r="H174" s="192"/>
      <c r="I174" s="192"/>
      <c r="J174" s="192"/>
      <c r="K174" s="192"/>
    </row>
    <row r="175" spans="1:11" ht="15.75">
      <c r="A175" s="39" t="s">
        <v>413</v>
      </c>
      <c r="B175" s="21">
        <f>(( B171^2 + B172^2) - (B171*B172 ))^0.5</f>
        <v>3464.1016151377544</v>
      </c>
      <c r="C175" s="26" t="s">
        <v>42</v>
      </c>
      <c r="F175" s="192"/>
      <c r="G175" s="192"/>
      <c r="H175" s="192"/>
      <c r="I175" s="192"/>
      <c r="J175" s="192"/>
      <c r="K175" s="192"/>
    </row>
    <row r="176" spans="1:11">
      <c r="F176" s="192"/>
      <c r="G176" s="192"/>
      <c r="H176" s="192"/>
      <c r="I176" s="192"/>
      <c r="J176" s="192"/>
      <c r="K176" s="192"/>
    </row>
    <row r="177" spans="1:11" ht="16.5" thickBot="1">
      <c r="A177" s="29" t="s">
        <v>514</v>
      </c>
      <c r="B177" s="102" t="s">
        <v>121</v>
      </c>
      <c r="F177" s="192"/>
      <c r="G177" s="192"/>
      <c r="H177" s="192"/>
      <c r="I177" s="192"/>
      <c r="J177" s="192"/>
      <c r="K177" s="192"/>
    </row>
    <row r="178" spans="1:11">
      <c r="A178" s="40" t="s">
        <v>505</v>
      </c>
      <c r="B178" s="189">
        <v>30000</v>
      </c>
      <c r="C178" s="27" t="s">
        <v>42</v>
      </c>
      <c r="F178" s="192"/>
      <c r="G178" s="192"/>
      <c r="H178" s="192"/>
      <c r="I178" s="192"/>
      <c r="J178" s="192"/>
      <c r="K178" s="192"/>
    </row>
    <row r="179" spans="1:11">
      <c r="A179" s="40" t="s">
        <v>211</v>
      </c>
      <c r="B179" s="190">
        <v>5000</v>
      </c>
      <c r="C179" s="27" t="s">
        <v>42</v>
      </c>
      <c r="F179" s="192"/>
      <c r="G179" s="192"/>
      <c r="H179" s="192"/>
      <c r="I179" s="192"/>
      <c r="J179" s="192"/>
      <c r="K179" s="192"/>
    </row>
    <row r="180" spans="1:11">
      <c r="A180" s="40" t="s">
        <v>511</v>
      </c>
      <c r="B180" s="190">
        <v>2000</v>
      </c>
      <c r="C180" s="27" t="s">
        <v>42</v>
      </c>
      <c r="F180" s="192"/>
      <c r="G180" s="192"/>
      <c r="H180" s="192"/>
      <c r="I180" s="192"/>
      <c r="J180" s="192"/>
      <c r="K180" s="192"/>
    </row>
    <row r="181" spans="1:11" ht="15.75" thickBot="1">
      <c r="A181" s="40" t="s">
        <v>512</v>
      </c>
      <c r="B181" s="191">
        <v>36000</v>
      </c>
      <c r="C181" s="27" t="s">
        <v>42</v>
      </c>
      <c r="F181" s="192"/>
      <c r="G181" s="192"/>
      <c r="H181" s="192"/>
      <c r="I181" s="192"/>
      <c r="J181" s="192"/>
      <c r="K181" s="192"/>
    </row>
    <row r="182" spans="1:11" ht="15.75">
      <c r="B182" s="102" t="s">
        <v>447</v>
      </c>
      <c r="F182" s="192"/>
      <c r="G182" s="192"/>
      <c r="H182" s="192"/>
      <c r="I182" s="192"/>
      <c r="J182" s="192"/>
      <c r="K182" s="192"/>
    </row>
    <row r="183" spans="1:11" ht="15.75">
      <c r="A183" s="39" t="s">
        <v>230</v>
      </c>
      <c r="B183" s="26" t="s">
        <v>227</v>
      </c>
      <c r="F183" s="192"/>
      <c r="G183" s="192"/>
      <c r="H183" s="192"/>
      <c r="I183" s="192"/>
      <c r="J183" s="192"/>
      <c r="K183" s="192"/>
    </row>
    <row r="184" spans="1:11" ht="15.75">
      <c r="A184" s="39" t="s">
        <v>413</v>
      </c>
      <c r="B184" s="21">
        <f>((B178^2+B179^2-B178*B179+3*B180^2)^0.5)</f>
        <v>28053.520278211075</v>
      </c>
      <c r="C184" s="26" t="s">
        <v>42</v>
      </c>
      <c r="F184" s="192"/>
      <c r="G184" s="192"/>
      <c r="H184" s="192"/>
      <c r="I184" s="192"/>
      <c r="J184" s="192"/>
      <c r="K184" s="192"/>
    </row>
    <row r="185" spans="1:11" ht="15.75">
      <c r="A185" s="39" t="s">
        <v>232</v>
      </c>
      <c r="B185" s="38" t="s">
        <v>416</v>
      </c>
      <c r="F185" s="192"/>
      <c r="G185" s="192"/>
      <c r="H185" s="192"/>
      <c r="I185" s="192"/>
      <c r="J185" s="192"/>
      <c r="K185" s="192"/>
    </row>
    <row r="186" spans="1:11" ht="15.75">
      <c r="A186" s="39" t="s">
        <v>105</v>
      </c>
      <c r="B186" s="103">
        <f>B181 / B184</f>
        <v>1.2832614104391342</v>
      </c>
      <c r="F186" s="192"/>
      <c r="G186" s="192"/>
      <c r="H186" s="192"/>
      <c r="I186" s="192"/>
      <c r="J186" s="192"/>
      <c r="K186" s="192"/>
    </row>
    <row r="187" spans="1:11">
      <c r="F187" s="192"/>
      <c r="G187" s="192"/>
      <c r="H187" s="192"/>
      <c r="I187" s="192"/>
      <c r="J187" s="192"/>
      <c r="K187" s="192"/>
    </row>
    <row r="188" spans="1:11" ht="15.75">
      <c r="A188" s="26" t="s">
        <v>412</v>
      </c>
      <c r="F188" s="192"/>
      <c r="G188" s="192"/>
      <c r="H188" s="192"/>
      <c r="I188" s="192"/>
      <c r="J188" s="192"/>
      <c r="K188" s="192"/>
    </row>
    <row r="189" spans="1:11" ht="15.75">
      <c r="A189" s="39" t="s">
        <v>230</v>
      </c>
      <c r="B189" s="26" t="s">
        <v>414</v>
      </c>
      <c r="F189" s="192"/>
      <c r="G189" s="192"/>
      <c r="H189" s="192"/>
      <c r="I189" s="192"/>
      <c r="J189" s="192"/>
      <c r="K189" s="192"/>
    </row>
    <row r="190" spans="1:11" ht="15.75">
      <c r="A190" s="39" t="s">
        <v>413</v>
      </c>
      <c r="B190" s="21">
        <f>( 3*B180^2 )^0.5</f>
        <v>3464.1016151377544</v>
      </c>
      <c r="F190" s="192"/>
      <c r="G190" s="192"/>
      <c r="H190" s="192"/>
      <c r="I190" s="192"/>
      <c r="J190" s="192"/>
      <c r="K190" s="192"/>
    </row>
    <row r="191" spans="1:11">
      <c r="F191" s="192"/>
      <c r="G191" s="192"/>
      <c r="H191" s="192"/>
      <c r="I191" s="192"/>
      <c r="J191" s="192"/>
      <c r="K191" s="192"/>
    </row>
    <row r="192" spans="1:11" ht="15.75">
      <c r="A192" s="39" t="s">
        <v>419</v>
      </c>
      <c r="B192" s="38" t="s">
        <v>416</v>
      </c>
      <c r="F192" s="192"/>
      <c r="G192" s="192"/>
      <c r="H192" s="192"/>
      <c r="I192" s="192"/>
      <c r="J192" s="192"/>
      <c r="K192" s="192"/>
    </row>
    <row r="193" spans="1:11" ht="15.75">
      <c r="A193" s="39" t="s">
        <v>105</v>
      </c>
      <c r="B193" s="20">
        <f>B181 / B190</f>
        <v>10.392304845413264</v>
      </c>
      <c r="F193" s="192"/>
      <c r="G193" s="192"/>
      <c r="H193" s="192"/>
      <c r="I193" s="192"/>
      <c r="J193" s="192"/>
      <c r="K193" s="192"/>
    </row>
    <row r="194" spans="1:11">
      <c r="F194" s="192"/>
      <c r="G194" s="192"/>
      <c r="H194" s="192"/>
      <c r="I194" s="192"/>
      <c r="J194" s="192"/>
      <c r="K194" s="192"/>
    </row>
    <row r="195" spans="1:11" ht="15.75">
      <c r="A195" s="39" t="s">
        <v>259</v>
      </c>
      <c r="B195" s="38" t="s">
        <v>420</v>
      </c>
      <c r="F195" s="192"/>
      <c r="G195" s="192"/>
      <c r="H195" s="192"/>
      <c r="I195" s="192"/>
      <c r="J195" s="192"/>
      <c r="K195" s="192"/>
    </row>
    <row r="196" spans="1:11" ht="15.75">
      <c r="A196" s="39" t="s">
        <v>225</v>
      </c>
      <c r="B196" s="38">
        <f>0.577 * B181</f>
        <v>20772</v>
      </c>
      <c r="C196" s="26" t="s">
        <v>42</v>
      </c>
      <c r="F196" s="192"/>
      <c r="G196" s="192"/>
      <c r="H196" s="192"/>
      <c r="I196" s="192"/>
      <c r="J196" s="192"/>
      <c r="K196" s="192"/>
    </row>
    <row r="197" spans="1:11">
      <c r="F197" s="192"/>
      <c r="G197" s="192"/>
      <c r="H197" s="192"/>
      <c r="I197" s="192"/>
      <c r="J197" s="192"/>
      <c r="K197" s="192"/>
    </row>
    <row r="198" spans="1:11" ht="15.75">
      <c r="A198" s="39" t="s">
        <v>419</v>
      </c>
      <c r="B198" s="26" t="s">
        <v>418</v>
      </c>
      <c r="F198" s="192"/>
      <c r="G198" s="192"/>
      <c r="H198" s="192"/>
      <c r="I198" s="192"/>
      <c r="J198" s="192"/>
      <c r="K198" s="192"/>
    </row>
    <row r="199" spans="1:11" ht="15.75">
      <c r="A199" s="39" t="s">
        <v>105</v>
      </c>
      <c r="B199" s="20">
        <f>B181/( 3*B180^2 )^0.5</f>
        <v>10.392304845413264</v>
      </c>
      <c r="F199" s="192"/>
      <c r="G199" s="192"/>
      <c r="H199" s="192"/>
      <c r="I199" s="192"/>
      <c r="J199" s="192"/>
      <c r="K199" s="192"/>
    </row>
    <row r="200" spans="1:11">
      <c r="F200" s="192"/>
      <c r="G200" s="192"/>
      <c r="H200" s="192"/>
      <c r="I200" s="192"/>
      <c r="J200" s="192"/>
      <c r="K200" s="192"/>
    </row>
    <row r="201" spans="1:11">
      <c r="F201" s="192"/>
      <c r="G201" s="192"/>
      <c r="H201" s="192"/>
      <c r="I201" s="192"/>
      <c r="J201" s="192"/>
      <c r="K201" s="192"/>
    </row>
    <row r="202" spans="1:11" ht="15.75">
      <c r="A202" s="39" t="s">
        <v>419</v>
      </c>
      <c r="B202" s="26" t="s">
        <v>421</v>
      </c>
      <c r="F202" s="192"/>
      <c r="G202" s="192"/>
      <c r="H202" s="192"/>
      <c r="I202" s="192"/>
      <c r="J202" s="192"/>
      <c r="K202" s="192"/>
    </row>
    <row r="203" spans="1:11" ht="15.75">
      <c r="A203" s="39" t="s">
        <v>105</v>
      </c>
      <c r="B203" s="20">
        <f>B181 /( 1.732*B180)</f>
        <v>10.392609699769054</v>
      </c>
      <c r="F203" s="192"/>
      <c r="G203" s="192"/>
      <c r="H203" s="192"/>
      <c r="I203" s="192"/>
      <c r="J203" s="192"/>
      <c r="K203" s="192"/>
    </row>
    <row r="204" spans="1:11">
      <c r="F204" s="192"/>
      <c r="G204" s="192"/>
      <c r="H204" s="192"/>
      <c r="I204" s="192"/>
      <c r="J204" s="192"/>
      <c r="K204" s="192"/>
    </row>
    <row r="205" spans="1:11">
      <c r="A205" s="27" t="s">
        <v>422</v>
      </c>
      <c r="F205" s="192"/>
      <c r="G205" s="192"/>
      <c r="H205" s="192"/>
      <c r="I205" s="192"/>
      <c r="J205" s="192"/>
      <c r="K205" s="192"/>
    </row>
    <row r="206" spans="1:11">
      <c r="A206" s="27" t="s">
        <v>223</v>
      </c>
      <c r="F206" s="192" t="s">
        <v>54</v>
      </c>
      <c r="G206" s="192"/>
      <c r="H206" s="192"/>
      <c r="I206" s="192"/>
      <c r="J206" s="192"/>
      <c r="K206" s="192"/>
    </row>
    <row r="207" spans="1:11" ht="16.5" thickBot="1">
      <c r="A207" s="27" t="s">
        <v>224</v>
      </c>
      <c r="B207" s="102" t="s">
        <v>121</v>
      </c>
      <c r="F207" s="192"/>
      <c r="G207" s="192"/>
      <c r="H207" s="192"/>
      <c r="I207" s="192"/>
      <c r="J207" s="192"/>
      <c r="K207" s="192"/>
    </row>
    <row r="208" spans="1:11" ht="15.75" thickBot="1">
      <c r="A208" s="40" t="s">
        <v>528</v>
      </c>
      <c r="B208" s="188">
        <v>36000</v>
      </c>
      <c r="C208" s="27" t="s">
        <v>42</v>
      </c>
      <c r="F208" s="192"/>
      <c r="G208" s="192"/>
      <c r="H208" s="192"/>
      <c r="I208" s="192"/>
      <c r="J208" s="192"/>
      <c r="K208" s="192"/>
    </row>
    <row r="209" spans="1:11" ht="15.75">
      <c r="B209" s="102" t="s">
        <v>481</v>
      </c>
      <c r="F209" s="192"/>
      <c r="G209" s="192"/>
      <c r="H209" s="192"/>
      <c r="I209" s="192"/>
      <c r="J209" s="192"/>
      <c r="K209" s="192"/>
    </row>
    <row r="210" spans="1:11" ht="15.75">
      <c r="A210" s="39" t="s">
        <v>529</v>
      </c>
      <c r="B210" s="38" t="s">
        <v>226</v>
      </c>
      <c r="F210" s="192"/>
      <c r="G210" s="192"/>
      <c r="H210" s="192"/>
      <c r="I210" s="192"/>
      <c r="J210" s="192"/>
      <c r="K210" s="192"/>
    </row>
    <row r="211" spans="1:11" ht="15.75">
      <c r="A211" s="39" t="s">
        <v>225</v>
      </c>
      <c r="B211" s="38">
        <f>0.5 * B208</f>
        <v>18000</v>
      </c>
      <c r="C211" s="27" t="s">
        <v>42</v>
      </c>
      <c r="E211" s="39"/>
      <c r="F211" s="192"/>
      <c r="G211" s="192"/>
      <c r="H211" s="192"/>
      <c r="I211" s="192"/>
      <c r="J211" s="192"/>
      <c r="K211" s="192"/>
    </row>
    <row r="212" spans="1:11">
      <c r="F212" s="192"/>
      <c r="G212" s="192"/>
      <c r="H212" s="192"/>
      <c r="I212" s="192"/>
      <c r="J212" s="192"/>
      <c r="K212" s="192"/>
    </row>
    <row r="213" spans="1:11">
      <c r="F213" s="192"/>
      <c r="G213" s="192"/>
      <c r="H213" s="192"/>
      <c r="I213" s="192"/>
      <c r="J213" s="192"/>
      <c r="K213" s="192"/>
    </row>
    <row r="214" spans="1:11">
      <c r="A214" s="27" t="s">
        <v>54</v>
      </c>
      <c r="F214" s="192"/>
      <c r="G214" s="192"/>
      <c r="H214" s="192"/>
      <c r="I214" s="192"/>
      <c r="J214" s="192"/>
      <c r="K214" s="192"/>
    </row>
    <row r="215" spans="1:11">
      <c r="F215" s="192"/>
      <c r="G215" s="192"/>
      <c r="H215" s="192"/>
      <c r="I215" s="192"/>
      <c r="J215" s="192"/>
      <c r="K215" s="192"/>
    </row>
    <row r="216" spans="1:11">
      <c r="F216" s="192"/>
      <c r="G216" s="192"/>
      <c r="H216" s="192"/>
      <c r="I216" s="192"/>
      <c r="J216" s="192"/>
      <c r="K216" s="192"/>
    </row>
    <row r="217" spans="1:11">
      <c r="F217" s="192"/>
      <c r="G217" s="192"/>
      <c r="H217" s="192"/>
      <c r="I217" s="192"/>
      <c r="J217" s="192"/>
      <c r="K217" s="192"/>
    </row>
    <row r="218" spans="1:11">
      <c r="F218" s="192"/>
      <c r="G218" s="192"/>
      <c r="H218" s="192"/>
      <c r="I218" s="192"/>
      <c r="J218" s="192"/>
      <c r="K218" s="192"/>
    </row>
    <row r="219" spans="1:11">
      <c r="F219" s="192"/>
      <c r="G219" s="192"/>
      <c r="H219" s="192"/>
      <c r="I219" s="192"/>
      <c r="J219" s="192"/>
      <c r="K219" s="192"/>
    </row>
    <row r="220" spans="1:11">
      <c r="F220" s="192"/>
      <c r="G220" s="192"/>
      <c r="H220" s="192"/>
      <c r="I220" s="192"/>
      <c r="J220" s="192"/>
      <c r="K220" s="192"/>
    </row>
    <row r="221" spans="1:11">
      <c r="A221" s="27" t="s">
        <v>515</v>
      </c>
      <c r="F221" s="192"/>
      <c r="G221" s="192"/>
      <c r="H221" s="192"/>
      <c r="I221" s="192"/>
      <c r="J221" s="192"/>
      <c r="K221" s="192"/>
    </row>
    <row r="222" spans="1:11">
      <c r="F222" s="192"/>
      <c r="G222" s="192"/>
      <c r="H222" s="192"/>
      <c r="I222" s="192"/>
      <c r="J222" s="192"/>
      <c r="K222" s="192"/>
    </row>
    <row r="223" spans="1:11">
      <c r="A223" s="27" t="s">
        <v>425</v>
      </c>
      <c r="F223" s="192"/>
      <c r="G223" s="192"/>
      <c r="H223" s="192"/>
      <c r="I223" s="192"/>
      <c r="J223" s="192"/>
      <c r="K223" s="192"/>
    </row>
    <row r="224" spans="1:11" ht="16.5" thickBot="1">
      <c r="B224" s="102" t="s">
        <v>121</v>
      </c>
      <c r="F224" s="192"/>
      <c r="G224" s="192"/>
      <c r="H224" s="192"/>
      <c r="I224" s="192"/>
      <c r="J224" s="192"/>
      <c r="K224" s="192"/>
    </row>
    <row r="225" spans="1:11">
      <c r="A225" s="73" t="s">
        <v>516</v>
      </c>
      <c r="B225" s="185">
        <v>0</v>
      </c>
      <c r="F225" s="192"/>
      <c r="G225" s="192"/>
      <c r="H225" s="192"/>
      <c r="I225" s="192"/>
      <c r="J225" s="192"/>
      <c r="K225" s="192"/>
    </row>
    <row r="226" spans="1:11">
      <c r="A226" s="73" t="s">
        <v>517</v>
      </c>
      <c r="B226" s="186">
        <v>0</v>
      </c>
      <c r="F226" s="192"/>
      <c r="G226" s="192"/>
      <c r="H226" s="192"/>
      <c r="I226" s="192"/>
      <c r="J226" s="192"/>
      <c r="K226" s="192"/>
    </row>
    <row r="227" spans="1:11">
      <c r="A227" s="40" t="s">
        <v>522</v>
      </c>
      <c r="B227" s="186">
        <v>30000</v>
      </c>
      <c r="C227" s="27" t="s">
        <v>42</v>
      </c>
      <c r="F227" s="192"/>
      <c r="G227" s="192"/>
      <c r="H227" s="192"/>
      <c r="I227" s="192"/>
      <c r="J227" s="192"/>
      <c r="K227" s="192"/>
    </row>
    <row r="228" spans="1:11" ht="15.75" thickBot="1">
      <c r="A228" s="40" t="s">
        <v>523</v>
      </c>
      <c r="B228" s="187">
        <v>20000</v>
      </c>
      <c r="C228" s="27" t="s">
        <v>42</v>
      </c>
      <c r="F228" s="192"/>
      <c r="G228" s="192"/>
      <c r="H228" s="192"/>
      <c r="I228" s="192"/>
      <c r="J228" s="192"/>
      <c r="K228" s="192"/>
    </row>
    <row r="229" spans="1:11" ht="15.75">
      <c r="B229" s="102" t="s">
        <v>447</v>
      </c>
      <c r="F229" s="192"/>
      <c r="G229" s="192"/>
      <c r="H229" s="192"/>
      <c r="I229" s="192"/>
      <c r="J229" s="192"/>
      <c r="K229" s="192"/>
    </row>
    <row r="230" spans="1:11" ht="15.75">
      <c r="A230" s="39" t="s">
        <v>525</v>
      </c>
      <c r="B230" s="38" t="s">
        <v>518</v>
      </c>
      <c r="C230" s="26"/>
      <c r="F230" s="192"/>
      <c r="G230" s="192"/>
      <c r="H230" s="192"/>
      <c r="I230" s="192"/>
      <c r="J230" s="192"/>
      <c r="K230" s="192"/>
    </row>
    <row r="231" spans="1:11" ht="15.75">
      <c r="A231" s="39" t="s">
        <v>526</v>
      </c>
      <c r="B231" s="38">
        <f>(B227  + B228) / 2</f>
        <v>25000</v>
      </c>
      <c r="C231" s="26" t="s">
        <v>42</v>
      </c>
      <c r="F231" s="192"/>
      <c r="G231" s="192"/>
      <c r="H231" s="192"/>
      <c r="I231" s="192"/>
      <c r="J231" s="192"/>
      <c r="K231" s="192"/>
    </row>
    <row r="232" spans="1:11">
      <c r="F232" s="192"/>
      <c r="G232" s="192"/>
      <c r="H232" s="192"/>
      <c r="I232" s="192"/>
      <c r="J232" s="192"/>
      <c r="K232" s="192"/>
    </row>
    <row r="233" spans="1:11">
      <c r="F233" s="192"/>
      <c r="G233" s="192"/>
      <c r="H233" s="192"/>
      <c r="I233" s="192"/>
      <c r="J233" s="192"/>
      <c r="K233" s="192"/>
    </row>
    <row r="234" spans="1:11">
      <c r="F234" s="192"/>
      <c r="G234" s="192"/>
      <c r="H234" s="192"/>
      <c r="I234" s="192"/>
      <c r="J234" s="192"/>
      <c r="K234" s="192"/>
    </row>
    <row r="235" spans="1:11">
      <c r="F235" s="192"/>
      <c r="G235" s="192"/>
      <c r="H235" s="192"/>
      <c r="I235" s="192"/>
      <c r="J235" s="192"/>
      <c r="K235" s="192"/>
    </row>
    <row r="236" spans="1:11">
      <c r="F236" s="192"/>
      <c r="G236" s="192"/>
      <c r="H236" s="192"/>
      <c r="I236" s="192"/>
      <c r="J236" s="192"/>
      <c r="K236" s="192"/>
    </row>
    <row r="237" spans="1:11">
      <c r="F237" s="192"/>
      <c r="G237" s="192"/>
      <c r="H237" s="192"/>
      <c r="I237" s="192"/>
      <c r="J237" s="192"/>
      <c r="K237" s="192"/>
    </row>
    <row r="238" spans="1:11">
      <c r="F238" s="192"/>
      <c r="G238" s="192"/>
      <c r="H238" s="192"/>
      <c r="I238" s="192"/>
      <c r="J238" s="192"/>
      <c r="K238" s="192"/>
    </row>
    <row r="239" spans="1:11">
      <c r="F239" s="192"/>
      <c r="G239" s="192"/>
      <c r="H239" s="192"/>
      <c r="I239" s="192"/>
      <c r="J239" s="192"/>
      <c r="K239" s="192"/>
    </row>
    <row r="240" spans="1:11">
      <c r="F240" s="192"/>
      <c r="G240" s="192"/>
      <c r="H240" s="192"/>
      <c r="I240" s="192"/>
      <c r="J240" s="192"/>
      <c r="K240" s="192"/>
    </row>
    <row r="241" spans="1:11">
      <c r="A241" s="27" t="s">
        <v>426</v>
      </c>
      <c r="F241" s="192"/>
      <c r="G241" s="192"/>
      <c r="H241" s="192"/>
      <c r="I241" s="192"/>
      <c r="J241" s="192"/>
      <c r="K241" s="192"/>
    </row>
    <row r="242" spans="1:11">
      <c r="A242" s="27" t="s">
        <v>427</v>
      </c>
      <c r="F242" s="192"/>
      <c r="G242" s="192"/>
      <c r="H242" s="192"/>
      <c r="I242" s="192"/>
      <c r="J242" s="192"/>
      <c r="K242" s="192"/>
    </row>
    <row r="243" spans="1:11">
      <c r="F243" s="192"/>
      <c r="G243" s="192"/>
      <c r="H243" s="192"/>
      <c r="I243" s="192"/>
      <c r="J243" s="192"/>
      <c r="K243" s="192"/>
    </row>
    <row r="244" spans="1:11">
      <c r="A244" s="27" t="s">
        <v>428</v>
      </c>
      <c r="F244" s="192"/>
      <c r="G244" s="192"/>
      <c r="H244" s="192"/>
      <c r="I244" s="192"/>
      <c r="J244" s="192"/>
      <c r="K244" s="192"/>
    </row>
    <row r="245" spans="1:11" ht="16.5" thickBot="1">
      <c r="B245" s="102" t="s">
        <v>121</v>
      </c>
      <c r="F245" s="192"/>
      <c r="G245" s="192"/>
      <c r="H245" s="192"/>
      <c r="I245" s="192"/>
      <c r="J245" s="192"/>
      <c r="K245" s="192"/>
    </row>
    <row r="246" spans="1:11" ht="15.75" thickBot="1">
      <c r="A246" s="73" t="s">
        <v>524</v>
      </c>
      <c r="B246" s="188">
        <v>30000</v>
      </c>
      <c r="F246" s="192"/>
      <c r="G246" s="192"/>
      <c r="H246" s="192"/>
      <c r="I246" s="192"/>
      <c r="J246" s="192"/>
      <c r="K246" s="192"/>
    </row>
    <row r="247" spans="1:11" ht="15.75">
      <c r="B247" s="102" t="s">
        <v>447</v>
      </c>
      <c r="F247" s="192"/>
      <c r="G247" s="192"/>
      <c r="H247" s="192"/>
      <c r="I247" s="192"/>
      <c r="J247" s="192"/>
      <c r="K247" s="192"/>
    </row>
    <row r="248" spans="1:11">
      <c r="A248" s="73" t="s">
        <v>519</v>
      </c>
      <c r="B248" s="110">
        <v>0</v>
      </c>
      <c r="F248" s="192"/>
      <c r="G248" s="192"/>
      <c r="H248" s="192"/>
      <c r="I248" s="192"/>
      <c r="J248" s="192"/>
      <c r="K248" s="192"/>
    </row>
    <row r="249" spans="1:11" ht="15.75">
      <c r="A249" s="39" t="s">
        <v>525</v>
      </c>
      <c r="B249" s="38" t="s">
        <v>520</v>
      </c>
      <c r="C249" s="26"/>
      <c r="F249" s="192"/>
      <c r="G249" s="192"/>
      <c r="H249" s="192"/>
      <c r="I249" s="192"/>
      <c r="J249" s="192"/>
      <c r="K249" s="192"/>
    </row>
    <row r="250" spans="1:11" ht="15.75">
      <c r="A250" s="39" t="s">
        <v>526</v>
      </c>
      <c r="B250" s="38">
        <f>B246 / 2</f>
        <v>15000</v>
      </c>
      <c r="C250" s="26" t="s">
        <v>42</v>
      </c>
      <c r="F250" s="192"/>
      <c r="G250" s="192"/>
      <c r="H250" s="192"/>
      <c r="I250" s="192"/>
      <c r="J250" s="192"/>
      <c r="K250" s="192"/>
    </row>
    <row r="251" spans="1:11" ht="15.75">
      <c r="A251" s="39" t="s">
        <v>527</v>
      </c>
      <c r="B251" s="38" t="s">
        <v>521</v>
      </c>
      <c r="C251" s="26"/>
      <c r="F251" s="192"/>
      <c r="G251" s="192"/>
      <c r="H251" s="192"/>
      <c r="I251" s="192"/>
      <c r="J251" s="192"/>
      <c r="K251" s="192"/>
    </row>
    <row r="252" spans="1:11" ht="15.75">
      <c r="A252" s="39" t="s">
        <v>526</v>
      </c>
      <c r="B252" s="38">
        <f>B246 / 2</f>
        <v>15000</v>
      </c>
      <c r="C252" s="26" t="s">
        <v>42</v>
      </c>
      <c r="F252" s="192"/>
      <c r="G252" s="192"/>
      <c r="H252" s="192"/>
      <c r="I252" s="192"/>
      <c r="J252" s="192"/>
      <c r="K252" s="192"/>
    </row>
    <row r="253" spans="1:11">
      <c r="F253" s="192"/>
      <c r="G253" s="192"/>
      <c r="H253" s="192"/>
      <c r="I253" s="192"/>
      <c r="J253" s="192"/>
      <c r="K253" s="192"/>
    </row>
    <row r="254" spans="1:11" ht="15.75">
      <c r="E254" s="39"/>
      <c r="F254" s="192"/>
      <c r="G254" s="192"/>
      <c r="H254" s="192"/>
      <c r="I254" s="192"/>
      <c r="J254" s="192"/>
      <c r="K254" s="192"/>
    </row>
    <row r="255" spans="1:11" ht="15.75" thickBot="1">
      <c r="F255" s="192"/>
      <c r="G255" s="192"/>
      <c r="H255" s="192"/>
      <c r="I255" s="192"/>
      <c r="J255" s="192"/>
      <c r="K255" s="192"/>
    </row>
    <row r="256" spans="1:11" ht="16.5" thickBot="1">
      <c r="B256" s="104" t="s">
        <v>493</v>
      </c>
      <c r="C256" s="107"/>
      <c r="D256" s="104" t="s">
        <v>495</v>
      </c>
      <c r="F256" s="192"/>
      <c r="G256" s="192"/>
      <c r="H256" s="192"/>
      <c r="I256" s="192"/>
      <c r="J256" s="192"/>
      <c r="K256" s="192"/>
    </row>
    <row r="257" spans="1:11" ht="16.5" thickBot="1">
      <c r="A257" s="35" t="s">
        <v>157</v>
      </c>
      <c r="B257" s="104" t="s">
        <v>492</v>
      </c>
      <c r="C257" s="108"/>
      <c r="D257" s="104" t="s">
        <v>494</v>
      </c>
      <c r="F257" s="192"/>
      <c r="G257" s="192"/>
      <c r="H257" s="192"/>
      <c r="I257" s="192"/>
      <c r="J257" s="192"/>
      <c r="K257" s="192"/>
    </row>
    <row r="258" spans="1:11" ht="15.75">
      <c r="A258" s="36" t="s">
        <v>158</v>
      </c>
      <c r="B258" s="105">
        <v>1.5</v>
      </c>
      <c r="C258" s="108"/>
      <c r="D258" s="105">
        <v>0.55000000000000004</v>
      </c>
      <c r="F258" s="192"/>
      <c r="G258" s="192"/>
      <c r="H258" s="192"/>
      <c r="I258" s="192"/>
      <c r="J258" s="192"/>
      <c r="K258" s="192"/>
    </row>
    <row r="259" spans="1:11" ht="15.75">
      <c r="A259" s="36" t="s">
        <v>159</v>
      </c>
      <c r="B259" s="105">
        <v>1.7</v>
      </c>
      <c r="C259" s="108"/>
      <c r="D259" s="105">
        <v>0.65</v>
      </c>
      <c r="F259" s="192"/>
      <c r="G259" s="192"/>
      <c r="H259" s="192"/>
      <c r="I259" s="192"/>
      <c r="J259" s="192"/>
      <c r="K259" s="192"/>
    </row>
    <row r="260" spans="1:11" ht="15.75">
      <c r="A260" s="36" t="s">
        <v>160</v>
      </c>
      <c r="B260" s="105">
        <v>1.4</v>
      </c>
      <c r="C260" s="108"/>
      <c r="D260" s="105">
        <v>0.6</v>
      </c>
      <c r="F260" s="192"/>
      <c r="G260" s="192"/>
      <c r="H260" s="192"/>
      <c r="I260" s="192"/>
      <c r="J260" s="192"/>
      <c r="K260" s="192"/>
    </row>
    <row r="261" spans="1:11" ht="15.75">
      <c r="A261" s="36" t="s">
        <v>161</v>
      </c>
      <c r="B261" s="105">
        <v>1.05</v>
      </c>
      <c r="C261" s="108"/>
      <c r="D261" s="105">
        <v>0.38</v>
      </c>
      <c r="F261" s="192"/>
      <c r="G261" s="192"/>
      <c r="H261" s="192"/>
      <c r="I261" s="192"/>
      <c r="J261" s="192"/>
      <c r="K261" s="192"/>
    </row>
    <row r="262" spans="1:11" ht="15.75">
      <c r="A262" s="36" t="s">
        <v>162</v>
      </c>
      <c r="B262" s="105">
        <v>2.6</v>
      </c>
      <c r="C262" s="108"/>
      <c r="D262" s="105">
        <v>1</v>
      </c>
      <c r="F262" s="192"/>
      <c r="G262" s="192"/>
      <c r="H262" s="192"/>
      <c r="I262" s="192"/>
      <c r="J262" s="192"/>
      <c r="K262" s="192"/>
    </row>
    <row r="263" spans="1:11" ht="15.75">
      <c r="A263" s="36" t="s">
        <v>163</v>
      </c>
      <c r="B263" s="105">
        <v>2.9</v>
      </c>
      <c r="C263" s="108"/>
      <c r="D263" s="105">
        <v>1.1499999999999999</v>
      </c>
      <c r="F263" s="192"/>
      <c r="G263" s="192"/>
      <c r="H263" s="192"/>
      <c r="I263" s="192"/>
      <c r="J263" s="192"/>
      <c r="K263" s="192"/>
    </row>
    <row r="264" spans="1:11" ht="16.5" thickBot="1">
      <c r="A264" s="37" t="s">
        <v>164</v>
      </c>
      <c r="B264" s="106">
        <v>2.9</v>
      </c>
      <c r="C264" s="109"/>
      <c r="D264" s="106">
        <v>1.18</v>
      </c>
      <c r="F264" s="192"/>
      <c r="G264" s="192"/>
      <c r="H264" s="192"/>
      <c r="I264" s="192"/>
      <c r="J264" s="192"/>
      <c r="K264" s="192"/>
    </row>
    <row r="265" spans="1:11">
      <c r="F265" s="192"/>
      <c r="G265" s="192"/>
      <c r="H265" s="192"/>
      <c r="I265" s="192"/>
      <c r="J265" s="192"/>
      <c r="K265" s="192"/>
    </row>
    <row r="266" spans="1:11" ht="15.75">
      <c r="A266" s="26" t="s">
        <v>496</v>
      </c>
      <c r="F266" s="192"/>
      <c r="G266" s="192"/>
      <c r="H266" s="192"/>
      <c r="I266" s="192"/>
      <c r="J266" s="192"/>
      <c r="K266" s="192"/>
    </row>
    <row r="267" spans="1:11">
      <c r="F267" s="192"/>
      <c r="G267" s="192"/>
      <c r="H267" s="192"/>
      <c r="I267" s="192"/>
      <c r="J267" s="192"/>
      <c r="K267" s="192"/>
    </row>
    <row r="268" spans="1:11" ht="15.75">
      <c r="A268" s="26" t="s">
        <v>186</v>
      </c>
      <c r="F268" s="192"/>
      <c r="G268" s="192"/>
      <c r="H268" s="192"/>
      <c r="I268" s="192"/>
      <c r="J268" s="192"/>
      <c r="K268" s="192"/>
    </row>
    <row r="269" spans="1:11">
      <c r="A269" s="27" t="s">
        <v>572</v>
      </c>
      <c r="F269" s="192"/>
      <c r="G269" s="192"/>
      <c r="H269" s="192"/>
      <c r="I269" s="192"/>
      <c r="J269" s="192"/>
      <c r="K269" s="192"/>
    </row>
    <row r="270" spans="1:11" ht="15.75">
      <c r="A270" s="26" t="s">
        <v>187</v>
      </c>
      <c r="F270" s="192"/>
      <c r="G270" s="192"/>
      <c r="H270" s="192"/>
      <c r="I270" s="192"/>
      <c r="J270" s="192"/>
      <c r="K270" s="192"/>
    </row>
    <row r="271" spans="1:11">
      <c r="D271" s="28"/>
      <c r="F271" s="192"/>
      <c r="G271" s="192"/>
      <c r="H271" s="192"/>
      <c r="I271" s="192"/>
      <c r="J271" s="192"/>
      <c r="K271" s="192"/>
    </row>
    <row r="272" spans="1:11" ht="15.75">
      <c r="A272" s="26" t="s">
        <v>188</v>
      </c>
      <c r="F272" s="192"/>
      <c r="G272" s="192"/>
      <c r="H272" s="192"/>
      <c r="I272" s="192"/>
      <c r="J272" s="192"/>
      <c r="K272" s="192"/>
    </row>
    <row r="273" spans="1:11">
      <c r="F273" s="192"/>
      <c r="G273" s="192"/>
      <c r="H273" s="192"/>
      <c r="I273" s="192"/>
      <c r="J273" s="192"/>
      <c r="K273" s="192"/>
    </row>
    <row r="274" spans="1:11" ht="15.75">
      <c r="A274" s="26" t="s">
        <v>497</v>
      </c>
      <c r="F274" s="192"/>
      <c r="G274" s="192"/>
      <c r="H274" s="192"/>
      <c r="I274" s="192"/>
      <c r="J274" s="192"/>
      <c r="K274" s="192"/>
    </row>
    <row r="275" spans="1:11">
      <c r="F275" s="192"/>
      <c r="G275" s="192"/>
      <c r="H275" s="192"/>
      <c r="I275" s="192"/>
      <c r="J275" s="192"/>
      <c r="K275" s="192"/>
    </row>
    <row r="276" spans="1:11" ht="15.75">
      <c r="A276" s="26" t="s">
        <v>189</v>
      </c>
      <c r="F276" s="192"/>
      <c r="G276" s="192"/>
      <c r="H276" s="192"/>
      <c r="I276" s="192"/>
      <c r="J276" s="192"/>
      <c r="K276" s="192"/>
    </row>
    <row r="277" spans="1:11">
      <c r="F277" s="192"/>
      <c r="G277" s="192"/>
      <c r="H277" s="192"/>
      <c r="I277" s="192"/>
      <c r="J277" s="192"/>
      <c r="K277" s="192"/>
    </row>
    <row r="278" spans="1:11" ht="15.75">
      <c r="A278" s="26" t="s">
        <v>190</v>
      </c>
      <c r="F278" s="192"/>
      <c r="G278" s="192"/>
      <c r="H278" s="192"/>
      <c r="I278" s="192"/>
      <c r="J278" s="192"/>
      <c r="K278" s="192"/>
    </row>
    <row r="279" spans="1:11">
      <c r="F279" s="192"/>
      <c r="G279" s="192"/>
      <c r="H279" s="192"/>
      <c r="I279" s="192"/>
      <c r="J279" s="192"/>
      <c r="K279" s="192"/>
    </row>
    <row r="280" spans="1:11" ht="15.75">
      <c r="A280" s="26" t="s">
        <v>191</v>
      </c>
      <c r="F280" s="192"/>
      <c r="G280" s="192"/>
      <c r="H280" s="192"/>
      <c r="I280" s="192"/>
      <c r="J280" s="192"/>
      <c r="K280" s="192"/>
    </row>
    <row r="281" spans="1:11">
      <c r="F281" s="192"/>
      <c r="G281" s="192"/>
      <c r="H281" s="192"/>
      <c r="I281" s="192"/>
      <c r="J281" s="192"/>
      <c r="K281" s="192"/>
    </row>
    <row r="282" spans="1:11" ht="15.75">
      <c r="A282" s="26" t="s">
        <v>192</v>
      </c>
      <c r="F282" s="192"/>
      <c r="G282" s="192"/>
      <c r="H282" s="192"/>
      <c r="I282" s="192"/>
      <c r="J282" s="192"/>
      <c r="K282" s="192"/>
    </row>
    <row r="283" spans="1:11" ht="15.75">
      <c r="A283" s="26" t="s">
        <v>193</v>
      </c>
      <c r="F283" s="192"/>
      <c r="G283" s="192"/>
      <c r="H283" s="192"/>
      <c r="I283" s="192"/>
      <c r="J283" s="192"/>
      <c r="K283" s="192"/>
    </row>
    <row r="284" spans="1:11">
      <c r="F284" s="192"/>
      <c r="G284" s="192"/>
      <c r="H284" s="192"/>
      <c r="I284" s="192"/>
      <c r="J284" s="192"/>
      <c r="K284" s="192"/>
    </row>
    <row r="285" spans="1:11" ht="15.75">
      <c r="A285" s="26" t="s">
        <v>498</v>
      </c>
      <c r="F285" s="192"/>
      <c r="G285" s="192"/>
      <c r="H285" s="192"/>
      <c r="I285" s="192"/>
      <c r="J285" s="192"/>
      <c r="K285" s="192"/>
    </row>
    <row r="286" spans="1:11">
      <c r="F286" s="192"/>
      <c r="G286" s="192"/>
      <c r="H286" s="192"/>
      <c r="I286" s="192"/>
      <c r="J286" s="192"/>
      <c r="K286" s="192"/>
    </row>
    <row r="287" spans="1:11" ht="15.75">
      <c r="A287" s="26" t="s">
        <v>499</v>
      </c>
      <c r="F287" s="192"/>
      <c r="G287" s="192"/>
      <c r="H287" s="192"/>
      <c r="I287" s="192"/>
      <c r="J287" s="192"/>
      <c r="K287" s="192"/>
    </row>
    <row r="288" spans="1:11" ht="15.75">
      <c r="A288" s="26" t="s">
        <v>500</v>
      </c>
      <c r="F288" s="192"/>
      <c r="G288" s="192"/>
      <c r="H288" s="192"/>
      <c r="I288" s="192"/>
      <c r="J288" s="192"/>
      <c r="K288" s="192"/>
    </row>
    <row r="289" spans="1:11">
      <c r="F289" s="192"/>
      <c r="G289" s="192"/>
      <c r="H289" s="192"/>
      <c r="I289" s="192"/>
      <c r="J289" s="192"/>
      <c r="K289" s="192"/>
    </row>
    <row r="290" spans="1:11" ht="15.75">
      <c r="A290" s="26" t="s">
        <v>194</v>
      </c>
      <c r="F290" s="192"/>
      <c r="G290" s="192"/>
      <c r="H290" s="192"/>
      <c r="I290" s="192"/>
      <c r="J290" s="192"/>
      <c r="K290" s="192"/>
    </row>
    <row r="291" spans="1:11">
      <c r="F291" s="192"/>
      <c r="G291" s="192"/>
      <c r="H291" s="192"/>
      <c r="I291" s="192"/>
      <c r="J291" s="192"/>
      <c r="K291" s="192"/>
    </row>
    <row r="292" spans="1:11" ht="15.75">
      <c r="A292" s="26" t="s">
        <v>501</v>
      </c>
      <c r="F292" s="192"/>
      <c r="G292" s="192"/>
      <c r="H292" s="192"/>
      <c r="I292" s="192"/>
      <c r="J292" s="192"/>
      <c r="K292" s="192"/>
    </row>
    <row r="293" spans="1:11" ht="15.75">
      <c r="A293" s="26"/>
      <c r="F293" s="192"/>
      <c r="G293" s="192"/>
      <c r="H293" s="192"/>
      <c r="I293" s="192"/>
      <c r="J293" s="192"/>
      <c r="K293" s="192"/>
    </row>
    <row r="294" spans="1:11" ht="15.75">
      <c r="A294" s="26" t="s">
        <v>503</v>
      </c>
      <c r="F294" s="192"/>
      <c r="G294" s="192"/>
      <c r="H294" s="192"/>
      <c r="I294" s="192"/>
      <c r="J294" s="192"/>
      <c r="K294" s="192"/>
    </row>
    <row r="295" spans="1:11" ht="15.75">
      <c r="A295" s="26" t="s">
        <v>502</v>
      </c>
      <c r="F295" s="192"/>
      <c r="G295" s="192"/>
      <c r="H295" s="192"/>
      <c r="I295" s="192"/>
      <c r="J295" s="192"/>
      <c r="K295" s="192"/>
    </row>
    <row r="296" spans="1:11" ht="15.75">
      <c r="E296" s="38"/>
      <c r="F296" s="192"/>
      <c r="G296" s="192"/>
      <c r="H296" s="192"/>
      <c r="I296" s="192"/>
      <c r="J296" s="192"/>
      <c r="K296" s="192"/>
    </row>
    <row r="297" spans="1:11">
      <c r="F297" s="192"/>
      <c r="G297" s="192"/>
      <c r="H297" s="192"/>
      <c r="I297" s="192"/>
      <c r="J297" s="192"/>
      <c r="K297" s="192"/>
    </row>
    <row r="298" spans="1:11">
      <c r="A298" s="127" t="s">
        <v>153</v>
      </c>
      <c r="B298" s="128"/>
      <c r="C298" s="128"/>
      <c r="D298" s="128"/>
      <c r="F298" s="192"/>
      <c r="G298" s="192"/>
      <c r="H298" s="192"/>
      <c r="I298" s="192"/>
      <c r="J298" s="192"/>
      <c r="K298" s="192"/>
    </row>
    <row r="299" spans="1:11" ht="15.75">
      <c r="A299" s="129" t="s">
        <v>154</v>
      </c>
      <c r="B299" s="128"/>
      <c r="C299" s="128"/>
      <c r="D299" s="128"/>
      <c r="F299" s="192"/>
      <c r="G299" s="192"/>
      <c r="H299" s="192"/>
      <c r="I299" s="192"/>
      <c r="J299" s="192"/>
      <c r="K299" s="192"/>
    </row>
    <row r="300" spans="1:11">
      <c r="A300" s="128" t="s">
        <v>155</v>
      </c>
      <c r="B300" s="128"/>
      <c r="C300" s="128"/>
      <c r="D300" s="128"/>
      <c r="F300" s="192"/>
      <c r="G300" s="192"/>
      <c r="H300" s="192"/>
      <c r="I300" s="192"/>
      <c r="J300" s="192"/>
      <c r="K300" s="192"/>
    </row>
    <row r="301" spans="1:11" ht="15.75">
      <c r="A301" s="129" t="s">
        <v>156</v>
      </c>
      <c r="B301" s="128"/>
      <c r="C301" s="128"/>
      <c r="D301" s="128"/>
      <c r="F301" s="192"/>
      <c r="G301" s="192"/>
      <c r="H301" s="192"/>
      <c r="I301" s="192"/>
      <c r="J301" s="192"/>
      <c r="K301" s="192"/>
    </row>
    <row r="302" spans="1:11">
      <c r="F302" s="192"/>
      <c r="G302" s="192"/>
      <c r="H302" s="192"/>
      <c r="I302" s="192"/>
      <c r="J302" s="192"/>
      <c r="K302" s="192"/>
    </row>
    <row r="303" spans="1:11">
      <c r="F303" s="192"/>
      <c r="G303" s="192"/>
      <c r="H303" s="192"/>
      <c r="I303" s="192"/>
      <c r="J303" s="192"/>
      <c r="K303" s="192"/>
    </row>
  </sheetData>
  <sheetProtection sheet="1" objects="1" scenarios="1" formatCells="0" selectLockedCells="1"/>
  <phoneticPr fontId="3" type="noConversion"/>
  <pageMargins left="0.75" right="0.75" top="1" bottom="1" header="0.5" footer="0.5"/>
  <pageSetup orientation="portrait"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dimension ref="A1:J550"/>
  <sheetViews>
    <sheetView workbookViewId="0">
      <selection activeCell="E3" sqref="E3"/>
    </sheetView>
  </sheetViews>
  <sheetFormatPr defaultRowHeight="12.75"/>
  <cols>
    <col min="1" max="1" width="40" style="90" customWidth="1"/>
    <col min="2" max="2" width="24" style="87" customWidth="1"/>
    <col min="3" max="3" width="14.5703125" style="87" customWidth="1"/>
    <col min="4" max="4" width="10.5703125" style="87" bestFit="1" customWidth="1"/>
    <col min="5" max="5" width="35.140625" style="87" customWidth="1"/>
    <col min="6" max="6" width="12.140625" style="57" customWidth="1"/>
    <col min="7" max="7" width="12.5703125" style="87" customWidth="1"/>
    <col min="8" max="8" width="10.85546875" style="88" bestFit="1" customWidth="1"/>
    <col min="9" max="9" width="9.140625" style="89"/>
    <col min="10" max="16384" width="9.140625" style="87"/>
  </cols>
  <sheetData>
    <row r="1" spans="1:8" ht="15.75">
      <c r="A1" s="290" t="s">
        <v>774</v>
      </c>
      <c r="B1" s="57"/>
      <c r="E1" s="215"/>
      <c r="F1" s="216"/>
      <c r="G1" s="215"/>
      <c r="H1" s="217"/>
    </row>
    <row r="2" spans="1:8">
      <c r="A2" s="71"/>
      <c r="E2" s="215"/>
      <c r="F2" s="216"/>
      <c r="G2" s="215"/>
      <c r="H2" s="217"/>
    </row>
    <row r="3" spans="1:8">
      <c r="E3" s="215"/>
      <c r="F3" s="216"/>
      <c r="G3" s="215"/>
      <c r="H3" s="217"/>
    </row>
    <row r="4" spans="1:8">
      <c r="E4" s="215"/>
      <c r="F4" s="216"/>
      <c r="G4" s="215"/>
      <c r="H4" s="217"/>
    </row>
    <row r="5" spans="1:8">
      <c r="E5" s="215"/>
      <c r="F5" s="216"/>
      <c r="G5" s="215"/>
      <c r="H5" s="217"/>
    </row>
    <row r="6" spans="1:8">
      <c r="E6" s="215"/>
      <c r="F6" s="216"/>
      <c r="G6" s="215"/>
      <c r="H6" s="217"/>
    </row>
    <row r="7" spans="1:8">
      <c r="E7" s="215"/>
      <c r="F7" s="216"/>
      <c r="G7" s="215"/>
      <c r="H7" s="217"/>
    </row>
    <row r="8" spans="1:8">
      <c r="E8" s="215"/>
      <c r="F8" s="216"/>
      <c r="G8" s="215"/>
      <c r="H8" s="217"/>
    </row>
    <row r="9" spans="1:8">
      <c r="E9" s="215"/>
      <c r="F9" s="216"/>
      <c r="G9" s="215"/>
      <c r="H9" s="217"/>
    </row>
    <row r="10" spans="1:8">
      <c r="E10" s="215"/>
      <c r="F10" s="216"/>
      <c r="G10" s="215"/>
      <c r="H10" s="217"/>
    </row>
    <row r="11" spans="1:8">
      <c r="E11" s="215"/>
      <c r="F11" s="216"/>
      <c r="G11" s="215"/>
      <c r="H11" s="217"/>
    </row>
    <row r="12" spans="1:8">
      <c r="E12" s="215"/>
      <c r="F12" s="216"/>
      <c r="G12" s="215"/>
      <c r="H12" s="217"/>
    </row>
    <row r="13" spans="1:8">
      <c r="E13" s="215"/>
      <c r="F13" s="216"/>
      <c r="G13" s="215"/>
      <c r="H13" s="217"/>
    </row>
    <row r="14" spans="1:8">
      <c r="E14" s="215"/>
      <c r="F14" s="216"/>
      <c r="G14" s="215"/>
      <c r="H14" s="217"/>
    </row>
    <row r="15" spans="1:8">
      <c r="E15" s="215"/>
      <c r="F15" s="216"/>
      <c r="G15" s="215"/>
      <c r="H15" s="217"/>
    </row>
    <row r="16" spans="1:8">
      <c r="E16" s="215"/>
      <c r="F16" s="216"/>
      <c r="G16" s="215"/>
      <c r="H16" s="217"/>
    </row>
    <row r="17" spans="5:8">
      <c r="E17" s="215"/>
      <c r="F17" s="216"/>
      <c r="G17" s="215"/>
      <c r="H17" s="217"/>
    </row>
    <row r="18" spans="5:8">
      <c r="E18" s="215"/>
      <c r="F18" s="216"/>
      <c r="G18" s="215"/>
      <c r="H18" s="217"/>
    </row>
    <row r="19" spans="5:8">
      <c r="E19" s="215"/>
      <c r="F19" s="216"/>
      <c r="G19" s="215"/>
      <c r="H19" s="217"/>
    </row>
    <row r="20" spans="5:8">
      <c r="E20" s="215"/>
      <c r="F20" s="216"/>
      <c r="G20" s="215"/>
      <c r="H20" s="217"/>
    </row>
    <row r="21" spans="5:8">
      <c r="E21" s="215"/>
      <c r="F21" s="216"/>
      <c r="G21" s="215"/>
      <c r="H21" s="217"/>
    </row>
    <row r="22" spans="5:8">
      <c r="E22" s="215"/>
      <c r="F22" s="216"/>
      <c r="G22" s="215"/>
      <c r="H22" s="217"/>
    </row>
    <row r="23" spans="5:8">
      <c r="E23" s="215"/>
      <c r="F23" s="216"/>
      <c r="G23" s="215"/>
      <c r="H23" s="217"/>
    </row>
    <row r="24" spans="5:8">
      <c r="E24" s="215"/>
      <c r="F24" s="216"/>
      <c r="G24" s="215"/>
      <c r="H24" s="217"/>
    </row>
    <row r="25" spans="5:8">
      <c r="E25" s="215"/>
      <c r="F25" s="216"/>
      <c r="G25" s="215"/>
      <c r="H25" s="217"/>
    </row>
    <row r="26" spans="5:8">
      <c r="E26" s="215"/>
      <c r="F26" s="216"/>
      <c r="G26" s="215"/>
      <c r="H26" s="217"/>
    </row>
    <row r="27" spans="5:8">
      <c r="E27" s="215"/>
      <c r="F27" s="216"/>
      <c r="G27" s="215"/>
      <c r="H27" s="217"/>
    </row>
    <row r="28" spans="5:8">
      <c r="E28" s="215"/>
      <c r="F28" s="216"/>
      <c r="G28" s="215"/>
      <c r="H28" s="217"/>
    </row>
    <row r="29" spans="5:8">
      <c r="E29" s="215"/>
      <c r="F29" s="216"/>
      <c r="G29" s="215"/>
      <c r="H29" s="217"/>
    </row>
    <row r="30" spans="5:8">
      <c r="E30" s="215"/>
      <c r="F30" s="216"/>
      <c r="G30" s="215"/>
      <c r="H30" s="217"/>
    </row>
    <row r="31" spans="5:8">
      <c r="E31" s="215"/>
      <c r="F31" s="216"/>
      <c r="G31" s="215"/>
      <c r="H31" s="217"/>
    </row>
    <row r="32" spans="5:8">
      <c r="E32" s="215"/>
      <c r="F32" s="216"/>
      <c r="G32" s="215"/>
      <c r="H32" s="217"/>
    </row>
    <row r="33" spans="1:8">
      <c r="E33" s="215"/>
      <c r="F33" s="216"/>
      <c r="G33" s="215"/>
      <c r="H33" s="217"/>
    </row>
    <row r="34" spans="1:8">
      <c r="E34" s="215"/>
      <c r="F34" s="216"/>
      <c r="G34" s="215"/>
      <c r="H34" s="217"/>
    </row>
    <row r="35" spans="1:8">
      <c r="E35" s="215"/>
      <c r="F35" s="216"/>
      <c r="G35" s="215"/>
      <c r="H35" s="217"/>
    </row>
    <row r="36" spans="1:8">
      <c r="E36" s="215"/>
      <c r="F36" s="216"/>
      <c r="G36" s="215"/>
      <c r="H36" s="217"/>
    </row>
    <row r="37" spans="1:8">
      <c r="A37" s="71" t="s">
        <v>53</v>
      </c>
      <c r="E37" s="215"/>
      <c r="F37" s="216"/>
      <c r="G37" s="215"/>
      <c r="H37" s="217"/>
    </row>
    <row r="38" spans="1:8">
      <c r="E38" s="215"/>
      <c r="F38" s="216"/>
      <c r="G38" s="215"/>
      <c r="H38" s="217"/>
    </row>
    <row r="39" spans="1:8">
      <c r="E39" s="215"/>
      <c r="F39" s="216"/>
      <c r="G39" s="215"/>
      <c r="H39" s="217"/>
    </row>
    <row r="40" spans="1:8">
      <c r="E40" s="215"/>
      <c r="F40" s="216"/>
      <c r="G40" s="215"/>
      <c r="H40" s="217"/>
    </row>
    <row r="41" spans="1:8">
      <c r="E41" s="215"/>
      <c r="F41" s="216"/>
      <c r="G41" s="215"/>
      <c r="H41" s="217"/>
    </row>
    <row r="42" spans="1:8">
      <c r="E42" s="215"/>
      <c r="F42" s="216"/>
      <c r="G42" s="215"/>
      <c r="H42" s="217"/>
    </row>
    <row r="43" spans="1:8">
      <c r="E43" s="215"/>
      <c r="F43" s="216"/>
      <c r="G43" s="215"/>
      <c r="H43" s="217"/>
    </row>
    <row r="44" spans="1:8">
      <c r="E44" s="215"/>
      <c r="F44" s="216"/>
      <c r="G44" s="215"/>
      <c r="H44" s="217"/>
    </row>
    <row r="45" spans="1:8">
      <c r="E45" s="215"/>
      <c r="F45" s="216"/>
      <c r="G45" s="215"/>
      <c r="H45" s="217"/>
    </row>
    <row r="46" spans="1:8">
      <c r="A46" s="89"/>
      <c r="E46" s="215"/>
      <c r="F46" s="216"/>
      <c r="G46" s="215"/>
      <c r="H46" s="217"/>
    </row>
    <row r="47" spans="1:8">
      <c r="A47" s="89"/>
      <c r="E47" s="215"/>
      <c r="F47" s="216"/>
      <c r="G47" s="215"/>
      <c r="H47" s="217"/>
    </row>
    <row r="48" spans="1:8">
      <c r="E48" s="215"/>
      <c r="F48" s="216"/>
      <c r="G48" s="215"/>
      <c r="H48" s="217"/>
    </row>
    <row r="49" spans="4:8">
      <c r="E49" s="215"/>
      <c r="F49" s="216"/>
      <c r="G49" s="215"/>
      <c r="H49" s="217"/>
    </row>
    <row r="50" spans="4:8">
      <c r="E50" s="215"/>
      <c r="F50" s="216"/>
      <c r="G50" s="215"/>
      <c r="H50" s="217"/>
    </row>
    <row r="51" spans="4:8">
      <c r="D51" s="91" t="s">
        <v>0</v>
      </c>
      <c r="E51" s="215"/>
      <c r="F51" s="216"/>
      <c r="G51" s="215"/>
      <c r="H51" s="217"/>
    </row>
    <row r="52" spans="4:8">
      <c r="E52" s="215"/>
      <c r="F52" s="216"/>
      <c r="G52" s="215"/>
      <c r="H52" s="217"/>
    </row>
    <row r="53" spans="4:8">
      <c r="E53" s="215"/>
      <c r="F53" s="216"/>
      <c r="G53" s="215"/>
      <c r="H53" s="217"/>
    </row>
    <row r="54" spans="4:8">
      <c r="E54" s="215"/>
      <c r="F54" s="216"/>
      <c r="G54" s="215"/>
      <c r="H54" s="217"/>
    </row>
    <row r="55" spans="4:8">
      <c r="E55" s="215"/>
      <c r="F55" s="216"/>
      <c r="G55" s="215"/>
      <c r="H55" s="217"/>
    </row>
    <row r="56" spans="4:8">
      <c r="E56" s="215"/>
      <c r="F56" s="216"/>
      <c r="G56" s="215"/>
      <c r="H56" s="217"/>
    </row>
    <row r="57" spans="4:8">
      <c r="E57" s="215"/>
      <c r="F57" s="216"/>
      <c r="G57" s="215"/>
      <c r="H57" s="217"/>
    </row>
    <row r="58" spans="4:8">
      <c r="E58" s="215"/>
      <c r="F58" s="216"/>
      <c r="G58" s="215"/>
      <c r="H58" s="217"/>
    </row>
    <row r="59" spans="4:8">
      <c r="E59" s="215"/>
      <c r="F59" s="216"/>
      <c r="G59" s="215"/>
      <c r="H59" s="217"/>
    </row>
    <row r="60" spans="4:8">
      <c r="E60" s="215"/>
      <c r="F60" s="216"/>
      <c r="G60" s="215"/>
      <c r="H60" s="217"/>
    </row>
    <row r="61" spans="4:8">
      <c r="E61" s="215"/>
      <c r="F61" s="216"/>
      <c r="G61" s="215"/>
      <c r="H61" s="217"/>
    </row>
    <row r="62" spans="4:8">
      <c r="E62" s="215"/>
      <c r="F62" s="216"/>
      <c r="G62" s="215"/>
      <c r="H62" s="217"/>
    </row>
    <row r="63" spans="4:8">
      <c r="E63" s="215"/>
      <c r="F63" s="216"/>
      <c r="G63" s="215"/>
      <c r="H63" s="217"/>
    </row>
    <row r="64" spans="4:8">
      <c r="E64" s="215"/>
      <c r="F64" s="216"/>
      <c r="G64" s="215"/>
      <c r="H64" s="217"/>
    </row>
    <row r="65" spans="5:8">
      <c r="E65" s="215"/>
      <c r="F65" s="216"/>
      <c r="G65" s="215"/>
      <c r="H65" s="217"/>
    </row>
    <row r="66" spans="5:8">
      <c r="E66" s="215"/>
      <c r="F66" s="216"/>
      <c r="G66" s="215"/>
      <c r="H66" s="217"/>
    </row>
    <row r="67" spans="5:8">
      <c r="E67" s="215"/>
      <c r="F67" s="216"/>
      <c r="G67" s="215"/>
      <c r="H67" s="217"/>
    </row>
    <row r="68" spans="5:8">
      <c r="E68" s="215"/>
      <c r="F68" s="216"/>
      <c r="G68" s="215"/>
      <c r="H68" s="217"/>
    </row>
    <row r="69" spans="5:8">
      <c r="E69" s="215"/>
      <c r="F69" s="216"/>
      <c r="G69" s="215"/>
      <c r="H69" s="217"/>
    </row>
    <row r="70" spans="5:8">
      <c r="E70" s="215"/>
      <c r="F70" s="216"/>
      <c r="G70" s="215"/>
      <c r="H70" s="217"/>
    </row>
    <row r="71" spans="5:8">
      <c r="E71" s="215"/>
      <c r="F71" s="216"/>
      <c r="G71" s="215"/>
      <c r="H71" s="217"/>
    </row>
    <row r="72" spans="5:8">
      <c r="E72" s="215"/>
      <c r="F72" s="216"/>
      <c r="G72" s="215"/>
      <c r="H72" s="217"/>
    </row>
    <row r="73" spans="5:8">
      <c r="E73" s="215"/>
      <c r="F73" s="216"/>
      <c r="G73" s="215"/>
      <c r="H73" s="217"/>
    </row>
    <row r="74" spans="5:8">
      <c r="E74" s="215"/>
      <c r="F74" s="216"/>
      <c r="G74" s="215"/>
      <c r="H74" s="217"/>
    </row>
    <row r="75" spans="5:8">
      <c r="E75" s="215"/>
      <c r="F75" s="216"/>
      <c r="G75" s="215"/>
      <c r="H75" s="217"/>
    </row>
    <row r="76" spans="5:8">
      <c r="E76" s="215"/>
      <c r="F76" s="216"/>
      <c r="G76" s="215"/>
      <c r="H76" s="217"/>
    </row>
    <row r="77" spans="5:8">
      <c r="E77" s="215"/>
      <c r="F77" s="216"/>
      <c r="G77" s="215"/>
      <c r="H77" s="217"/>
    </row>
    <row r="78" spans="5:8">
      <c r="E78" s="215"/>
      <c r="F78" s="216"/>
      <c r="G78" s="215"/>
      <c r="H78" s="217"/>
    </row>
    <row r="79" spans="5:8">
      <c r="E79" s="215"/>
      <c r="F79" s="216"/>
      <c r="G79" s="215"/>
      <c r="H79" s="217"/>
    </row>
    <row r="80" spans="5:8">
      <c r="E80" s="215"/>
      <c r="F80" s="216"/>
      <c r="G80" s="215"/>
      <c r="H80" s="217"/>
    </row>
    <row r="81" spans="5:8">
      <c r="E81" s="215"/>
      <c r="F81" s="216"/>
      <c r="G81" s="215"/>
      <c r="H81" s="217"/>
    </row>
    <row r="82" spans="5:8">
      <c r="E82" s="215"/>
      <c r="F82" s="216"/>
      <c r="G82" s="215"/>
      <c r="H82" s="217"/>
    </row>
    <row r="83" spans="5:8">
      <c r="E83" s="215"/>
      <c r="F83" s="216"/>
      <c r="G83" s="215"/>
      <c r="H83" s="217"/>
    </row>
    <row r="84" spans="5:8">
      <c r="E84" s="215"/>
      <c r="F84" s="216"/>
      <c r="G84" s="215"/>
      <c r="H84" s="217"/>
    </row>
    <row r="85" spans="5:8">
      <c r="E85" s="215"/>
      <c r="F85" s="216"/>
      <c r="G85" s="215"/>
      <c r="H85" s="217"/>
    </row>
    <row r="86" spans="5:8">
      <c r="E86" s="215"/>
      <c r="F86" s="216"/>
      <c r="G86" s="215"/>
      <c r="H86" s="217"/>
    </row>
    <row r="87" spans="5:8">
      <c r="E87" s="215"/>
      <c r="F87" s="216"/>
      <c r="G87" s="215"/>
      <c r="H87" s="217"/>
    </row>
    <row r="88" spans="5:8">
      <c r="E88" s="215"/>
      <c r="F88" s="216"/>
      <c r="G88" s="215"/>
      <c r="H88" s="217"/>
    </row>
    <row r="89" spans="5:8">
      <c r="E89" s="215"/>
      <c r="F89" s="216"/>
      <c r="G89" s="215"/>
      <c r="H89" s="217"/>
    </row>
    <row r="90" spans="5:8">
      <c r="E90" s="215"/>
      <c r="F90" s="216"/>
      <c r="G90" s="215"/>
      <c r="H90" s="217"/>
    </row>
    <row r="91" spans="5:8">
      <c r="E91" s="215"/>
      <c r="F91" s="216"/>
      <c r="G91" s="215"/>
      <c r="H91" s="217"/>
    </row>
    <row r="92" spans="5:8">
      <c r="E92" s="215"/>
      <c r="F92" s="216"/>
      <c r="G92" s="215"/>
      <c r="H92" s="217"/>
    </row>
    <row r="93" spans="5:8">
      <c r="E93" s="215"/>
      <c r="F93" s="216"/>
      <c r="G93" s="215"/>
      <c r="H93" s="217"/>
    </row>
    <row r="94" spans="5:8">
      <c r="E94" s="215"/>
      <c r="F94" s="216"/>
      <c r="G94" s="215"/>
      <c r="H94" s="217"/>
    </row>
    <row r="95" spans="5:8">
      <c r="E95" s="215"/>
      <c r="F95" s="216"/>
      <c r="G95" s="215"/>
      <c r="H95" s="217"/>
    </row>
    <row r="96" spans="5:8">
      <c r="E96" s="215"/>
      <c r="F96" s="216"/>
      <c r="G96" s="215"/>
      <c r="H96" s="217"/>
    </row>
    <row r="97" spans="4:9">
      <c r="E97" s="215"/>
      <c r="F97" s="216"/>
      <c r="G97" s="215"/>
      <c r="H97" s="217"/>
    </row>
    <row r="98" spans="4:9">
      <c r="E98" s="215"/>
      <c r="F98" s="216"/>
      <c r="G98" s="215"/>
      <c r="H98" s="217"/>
    </row>
    <row r="99" spans="4:9">
      <c r="E99" s="215"/>
      <c r="F99" s="216"/>
      <c r="G99" s="215"/>
      <c r="H99" s="217"/>
    </row>
    <row r="100" spans="4:9">
      <c r="E100" s="215"/>
      <c r="F100" s="216"/>
      <c r="G100" s="215"/>
      <c r="H100" s="217"/>
    </row>
    <row r="101" spans="4:9">
      <c r="E101" s="218"/>
      <c r="F101" s="219"/>
      <c r="G101" s="215"/>
      <c r="H101" s="217"/>
    </row>
    <row r="102" spans="4:9">
      <c r="D102" s="91" t="s">
        <v>1</v>
      </c>
      <c r="E102" s="215"/>
      <c r="F102" s="216"/>
      <c r="G102" s="215"/>
      <c r="H102" s="217"/>
    </row>
    <row r="103" spans="4:9">
      <c r="E103" s="220"/>
      <c r="F103" s="216"/>
      <c r="G103" s="221"/>
      <c r="H103" s="216"/>
    </row>
    <row r="104" spans="4:9">
      <c r="E104" s="218"/>
      <c r="F104" s="216"/>
      <c r="G104" s="222"/>
      <c r="H104" s="217"/>
    </row>
    <row r="105" spans="4:9">
      <c r="E105" s="223"/>
      <c r="F105" s="216"/>
      <c r="G105" s="217"/>
      <c r="H105" s="224"/>
    </row>
    <row r="106" spans="4:9">
      <c r="E106" s="218"/>
      <c r="F106" s="216"/>
      <c r="G106" s="222"/>
      <c r="H106" s="217"/>
    </row>
    <row r="107" spans="4:9">
      <c r="E107" s="223"/>
      <c r="F107" s="216"/>
      <c r="G107" s="217"/>
      <c r="H107" s="224"/>
    </row>
    <row r="108" spans="4:9">
      <c r="E108" s="218"/>
      <c r="F108" s="225"/>
      <c r="G108" s="222"/>
      <c r="H108" s="217"/>
    </row>
    <row r="109" spans="4:9">
      <c r="E109" s="223"/>
      <c r="F109" s="216"/>
      <c r="G109" s="217"/>
      <c r="H109" s="224"/>
    </row>
    <row r="110" spans="4:9">
      <c r="E110" s="218"/>
      <c r="F110" s="216"/>
      <c r="G110" s="222"/>
      <c r="H110" s="217"/>
    </row>
    <row r="111" spans="4:9">
      <c r="E111" s="223"/>
      <c r="F111" s="216"/>
      <c r="G111" s="217"/>
      <c r="H111" s="226"/>
      <c r="I111" s="88"/>
    </row>
    <row r="112" spans="4:9">
      <c r="E112" s="218"/>
      <c r="F112" s="227"/>
      <c r="G112" s="222"/>
      <c r="H112" s="217"/>
    </row>
    <row r="113" spans="5:9">
      <c r="E113" s="223"/>
      <c r="F113" s="216"/>
      <c r="G113" s="217"/>
      <c r="H113" s="228"/>
    </row>
    <row r="114" spans="5:9">
      <c r="E114" s="218"/>
      <c r="F114" s="229"/>
      <c r="G114" s="222"/>
      <c r="H114" s="217"/>
    </row>
    <row r="115" spans="5:9">
      <c r="E115" s="223"/>
      <c r="F115" s="216"/>
      <c r="G115" s="215"/>
      <c r="H115" s="224"/>
    </row>
    <row r="116" spans="5:9">
      <c r="E116" s="218"/>
      <c r="F116" s="230"/>
      <c r="G116" s="222"/>
      <c r="H116" s="217"/>
    </row>
    <row r="117" spans="5:9">
      <c r="E117" s="223"/>
      <c r="F117" s="216"/>
      <c r="G117" s="215"/>
      <c r="H117" s="224"/>
      <c r="I117" s="88"/>
    </row>
    <row r="118" spans="5:9">
      <c r="E118" s="218"/>
      <c r="F118" s="216"/>
      <c r="G118" s="222"/>
      <c r="H118" s="217"/>
    </row>
    <row r="119" spans="5:9">
      <c r="E119" s="223"/>
      <c r="F119" s="216"/>
      <c r="G119" s="215"/>
      <c r="H119" s="224"/>
      <c r="I119" s="88"/>
    </row>
    <row r="120" spans="5:9">
      <c r="E120" s="218"/>
      <c r="F120" s="227"/>
      <c r="G120" s="222"/>
      <c r="H120" s="217"/>
    </row>
    <row r="121" spans="5:9">
      <c r="E121" s="223"/>
      <c r="F121" s="216"/>
      <c r="G121" s="215"/>
      <c r="H121" s="228"/>
      <c r="I121" s="88"/>
    </row>
    <row r="122" spans="5:9">
      <c r="E122" s="215"/>
      <c r="F122" s="216"/>
      <c r="G122" s="215"/>
      <c r="H122" s="217"/>
    </row>
    <row r="123" spans="5:9">
      <c r="E123" s="215"/>
      <c r="F123" s="216"/>
      <c r="G123" s="215"/>
      <c r="H123" s="217"/>
    </row>
    <row r="124" spans="5:9">
      <c r="E124" s="215"/>
      <c r="F124" s="216"/>
      <c r="G124" s="215"/>
      <c r="H124" s="217"/>
    </row>
    <row r="125" spans="5:9">
      <c r="E125" s="215"/>
      <c r="F125" s="216"/>
      <c r="G125" s="215"/>
      <c r="H125" s="217"/>
    </row>
    <row r="126" spans="5:9">
      <c r="E126" s="215"/>
      <c r="F126" s="216"/>
      <c r="G126" s="215"/>
      <c r="H126" s="217"/>
    </row>
    <row r="127" spans="5:9">
      <c r="E127" s="215"/>
      <c r="F127" s="216"/>
      <c r="G127" s="215"/>
      <c r="H127" s="217"/>
    </row>
    <row r="128" spans="5:9">
      <c r="E128" s="215"/>
      <c r="F128" s="216"/>
      <c r="G128" s="215"/>
      <c r="H128" s="217"/>
    </row>
    <row r="129" spans="5:8">
      <c r="E129" s="215"/>
      <c r="F129" s="216"/>
      <c r="G129" s="215"/>
      <c r="H129" s="217"/>
    </row>
    <row r="130" spans="5:8">
      <c r="E130" s="215"/>
      <c r="F130" s="216"/>
      <c r="G130" s="215"/>
      <c r="H130" s="217"/>
    </row>
    <row r="131" spans="5:8">
      <c r="E131" s="215"/>
      <c r="F131" s="216"/>
      <c r="G131" s="215"/>
      <c r="H131" s="217"/>
    </row>
    <row r="132" spans="5:8">
      <c r="E132" s="215"/>
      <c r="F132" s="216"/>
      <c r="G132" s="215"/>
      <c r="H132" s="217"/>
    </row>
    <row r="133" spans="5:8">
      <c r="E133" s="215"/>
      <c r="F133" s="216"/>
      <c r="G133" s="215"/>
      <c r="H133" s="217"/>
    </row>
    <row r="134" spans="5:8">
      <c r="E134" s="215"/>
      <c r="F134" s="216"/>
      <c r="G134" s="215"/>
      <c r="H134" s="217"/>
    </row>
    <row r="135" spans="5:8">
      <c r="E135" s="215"/>
      <c r="F135" s="216"/>
      <c r="G135" s="215"/>
      <c r="H135" s="217"/>
    </row>
    <row r="136" spans="5:8">
      <c r="E136" s="215"/>
      <c r="F136" s="216"/>
      <c r="G136" s="215"/>
      <c r="H136" s="217"/>
    </row>
    <row r="137" spans="5:8">
      <c r="E137" s="215"/>
      <c r="F137" s="216"/>
      <c r="G137" s="215"/>
      <c r="H137" s="217"/>
    </row>
    <row r="138" spans="5:8">
      <c r="E138" s="215"/>
      <c r="F138" s="216"/>
      <c r="G138" s="215"/>
      <c r="H138" s="217"/>
    </row>
    <row r="139" spans="5:8">
      <c r="E139" s="215"/>
      <c r="F139" s="216"/>
      <c r="G139" s="215"/>
      <c r="H139" s="217"/>
    </row>
    <row r="140" spans="5:8">
      <c r="E140" s="215"/>
      <c r="F140" s="216"/>
      <c r="G140" s="215"/>
      <c r="H140" s="217"/>
    </row>
    <row r="141" spans="5:8">
      <c r="E141" s="215"/>
      <c r="F141" s="216"/>
      <c r="G141" s="215"/>
      <c r="H141" s="217"/>
    </row>
    <row r="142" spans="5:8">
      <c r="E142" s="215"/>
      <c r="F142" s="216"/>
      <c r="G142" s="215"/>
      <c r="H142" s="217"/>
    </row>
    <row r="143" spans="5:8">
      <c r="E143" s="215"/>
      <c r="F143" s="216"/>
      <c r="G143" s="215"/>
      <c r="H143" s="217"/>
    </row>
    <row r="144" spans="5:8">
      <c r="E144" s="215"/>
      <c r="F144" s="216"/>
      <c r="G144" s="215"/>
      <c r="H144" s="217"/>
    </row>
    <row r="145" spans="1:8">
      <c r="E145" s="215"/>
      <c r="F145" s="216"/>
      <c r="G145" s="215"/>
      <c r="H145" s="217"/>
    </row>
    <row r="146" spans="1:8">
      <c r="E146" s="215"/>
      <c r="F146" s="216"/>
      <c r="G146" s="215"/>
      <c r="H146" s="217"/>
    </row>
    <row r="147" spans="1:8">
      <c r="E147" s="215"/>
      <c r="F147" s="216"/>
      <c r="G147" s="215"/>
      <c r="H147" s="217"/>
    </row>
    <row r="148" spans="1:8">
      <c r="E148" s="215"/>
      <c r="F148" s="216"/>
      <c r="G148" s="215"/>
      <c r="H148" s="217"/>
    </row>
    <row r="149" spans="1:8">
      <c r="E149" s="215"/>
      <c r="F149" s="216"/>
      <c r="G149" s="215"/>
      <c r="H149" s="217"/>
    </row>
    <row r="150" spans="1:8">
      <c r="E150" s="215"/>
      <c r="F150" s="216"/>
      <c r="G150" s="215"/>
      <c r="H150" s="217"/>
    </row>
    <row r="151" spans="1:8">
      <c r="A151" s="71" t="s">
        <v>67</v>
      </c>
      <c r="E151" s="215"/>
      <c r="F151" s="216"/>
      <c r="G151" s="215"/>
      <c r="H151" s="217"/>
    </row>
    <row r="152" spans="1:8">
      <c r="A152" s="90" t="s">
        <v>61</v>
      </c>
      <c r="B152" s="87" t="s">
        <v>60</v>
      </c>
      <c r="C152" s="87" t="s">
        <v>42</v>
      </c>
      <c r="E152" s="215"/>
      <c r="F152" s="216"/>
      <c r="G152" s="215"/>
      <c r="H152" s="217"/>
    </row>
    <row r="153" spans="1:8">
      <c r="A153" s="90" t="s">
        <v>62</v>
      </c>
      <c r="B153" s="87" t="s">
        <v>66</v>
      </c>
      <c r="C153" s="87" t="s">
        <v>42</v>
      </c>
      <c r="D153" s="91" t="s">
        <v>2</v>
      </c>
      <c r="E153" s="215"/>
      <c r="F153" s="216"/>
      <c r="G153" s="215"/>
      <c r="H153" s="217"/>
    </row>
    <row r="154" spans="1:8">
      <c r="A154" s="71" t="s">
        <v>72</v>
      </c>
      <c r="E154" s="215"/>
      <c r="F154" s="216"/>
      <c r="G154" s="215"/>
      <c r="H154" s="217"/>
    </row>
    <row r="155" spans="1:8">
      <c r="A155" s="90" t="s">
        <v>6</v>
      </c>
      <c r="B155" s="87" t="s">
        <v>70</v>
      </c>
      <c r="E155" s="215"/>
      <c r="F155" s="216"/>
      <c r="G155" s="215"/>
      <c r="H155" s="217"/>
    </row>
    <row r="156" spans="1:8">
      <c r="A156" s="90" t="s">
        <v>701</v>
      </c>
      <c r="B156" s="95">
        <v>0.5</v>
      </c>
      <c r="E156" s="215"/>
      <c r="F156" s="216"/>
      <c r="G156" s="215"/>
      <c r="H156" s="217"/>
    </row>
    <row r="157" spans="1:8">
      <c r="A157" s="90" t="s">
        <v>7</v>
      </c>
      <c r="B157" s="87" t="s">
        <v>71</v>
      </c>
      <c r="E157" s="215"/>
      <c r="F157" s="216"/>
      <c r="G157" s="215"/>
      <c r="H157" s="217"/>
    </row>
    <row r="158" spans="1:8">
      <c r="A158" s="90" t="s">
        <v>701</v>
      </c>
      <c r="B158" s="95">
        <v>0.4</v>
      </c>
      <c r="E158" s="215"/>
      <c r="F158" s="216"/>
      <c r="G158" s="215"/>
      <c r="H158" s="217"/>
    </row>
    <row r="159" spans="1:8">
      <c r="A159" s="90" t="s">
        <v>8</v>
      </c>
      <c r="B159" s="87" t="s">
        <v>68</v>
      </c>
      <c r="E159" s="215"/>
      <c r="F159" s="216"/>
      <c r="G159" s="215"/>
      <c r="H159" s="217"/>
    </row>
    <row r="160" spans="1:8">
      <c r="A160" s="90" t="s">
        <v>701</v>
      </c>
      <c r="B160" s="95">
        <v>0.4</v>
      </c>
      <c r="E160" s="215"/>
      <c r="F160" s="216"/>
      <c r="G160" s="215"/>
      <c r="H160" s="217"/>
    </row>
    <row r="161" spans="1:8">
      <c r="A161" s="90" t="s">
        <v>9</v>
      </c>
      <c r="B161" s="87" t="s">
        <v>69</v>
      </c>
      <c r="E161" s="215"/>
      <c r="F161" s="216"/>
      <c r="G161" s="215"/>
      <c r="H161" s="217"/>
    </row>
    <row r="162" spans="1:8">
      <c r="E162" s="215"/>
      <c r="F162" s="216"/>
      <c r="G162" s="215"/>
      <c r="H162" s="217"/>
    </row>
    <row r="163" spans="1:8">
      <c r="E163" s="215"/>
      <c r="F163" s="216"/>
      <c r="G163" s="215"/>
      <c r="H163" s="217"/>
    </row>
    <row r="164" spans="1:8">
      <c r="E164" s="215"/>
      <c r="F164" s="216"/>
      <c r="G164" s="215"/>
      <c r="H164" s="217"/>
    </row>
    <row r="165" spans="1:8">
      <c r="E165" s="215"/>
      <c r="F165" s="216"/>
      <c r="G165" s="215"/>
      <c r="H165" s="217"/>
    </row>
    <row r="166" spans="1:8">
      <c r="E166" s="215"/>
      <c r="F166" s="216"/>
      <c r="G166" s="215"/>
      <c r="H166" s="217"/>
    </row>
    <row r="167" spans="1:8">
      <c r="E167" s="215"/>
      <c r="F167" s="216"/>
      <c r="G167" s="215"/>
      <c r="H167" s="217"/>
    </row>
    <row r="168" spans="1:8">
      <c r="E168" s="215"/>
      <c r="F168" s="216"/>
      <c r="G168" s="215"/>
      <c r="H168" s="217"/>
    </row>
    <row r="169" spans="1:8">
      <c r="E169" s="215"/>
      <c r="F169" s="216"/>
      <c r="G169" s="215"/>
      <c r="H169" s="217"/>
    </row>
    <row r="170" spans="1:8">
      <c r="E170" s="215"/>
      <c r="F170" s="216"/>
      <c r="G170" s="215"/>
      <c r="H170" s="217"/>
    </row>
    <row r="171" spans="1:8">
      <c r="E171" s="215"/>
      <c r="F171" s="216"/>
      <c r="G171" s="215"/>
      <c r="H171" s="217"/>
    </row>
    <row r="172" spans="1:8">
      <c r="E172" s="215"/>
      <c r="F172" s="216"/>
      <c r="G172" s="215"/>
      <c r="H172" s="217"/>
    </row>
    <row r="173" spans="1:8">
      <c r="E173" s="215"/>
      <c r="F173" s="216"/>
      <c r="G173" s="215"/>
      <c r="H173" s="217"/>
    </row>
    <row r="174" spans="1:8">
      <c r="E174" s="215"/>
      <c r="F174" s="216"/>
      <c r="G174" s="215"/>
      <c r="H174" s="217"/>
    </row>
    <row r="175" spans="1:8">
      <c r="E175" s="215"/>
      <c r="F175" s="216"/>
      <c r="G175" s="215"/>
      <c r="H175" s="217"/>
    </row>
    <row r="176" spans="1:8">
      <c r="E176" s="215"/>
      <c r="F176" s="216"/>
      <c r="G176" s="215"/>
      <c r="H176" s="217"/>
    </row>
    <row r="177" spans="1:8">
      <c r="E177" s="215"/>
      <c r="F177" s="216"/>
      <c r="G177" s="215"/>
      <c r="H177" s="217"/>
    </row>
    <row r="178" spans="1:8">
      <c r="E178" s="215"/>
      <c r="F178" s="216"/>
      <c r="G178" s="215"/>
      <c r="H178" s="217"/>
    </row>
    <row r="179" spans="1:8">
      <c r="E179" s="215"/>
      <c r="F179" s="216"/>
      <c r="G179" s="215"/>
      <c r="H179" s="217"/>
    </row>
    <row r="180" spans="1:8">
      <c r="E180" s="215"/>
      <c r="F180" s="216"/>
      <c r="G180" s="215"/>
      <c r="H180" s="217"/>
    </row>
    <row r="181" spans="1:8">
      <c r="E181" s="215"/>
      <c r="F181" s="216"/>
      <c r="G181" s="215"/>
      <c r="H181" s="217"/>
    </row>
    <row r="182" spans="1:8">
      <c r="E182" s="215"/>
      <c r="F182" s="216"/>
      <c r="G182" s="215"/>
      <c r="H182" s="217"/>
    </row>
    <row r="183" spans="1:8">
      <c r="E183" s="215"/>
      <c r="F183" s="216"/>
      <c r="G183" s="215"/>
      <c r="H183" s="217"/>
    </row>
    <row r="184" spans="1:8">
      <c r="E184" s="215"/>
      <c r="F184" s="216"/>
      <c r="G184" s="215"/>
      <c r="H184" s="217"/>
    </row>
    <row r="185" spans="1:8">
      <c r="E185" s="215"/>
      <c r="F185" s="216"/>
      <c r="G185" s="215"/>
      <c r="H185" s="217"/>
    </row>
    <row r="186" spans="1:8">
      <c r="E186" s="215"/>
      <c r="F186" s="216"/>
      <c r="G186" s="215"/>
      <c r="H186" s="217"/>
    </row>
    <row r="187" spans="1:8">
      <c r="E187" s="215"/>
      <c r="F187" s="216"/>
      <c r="G187" s="215"/>
      <c r="H187" s="217"/>
    </row>
    <row r="188" spans="1:8">
      <c r="E188" s="215"/>
      <c r="F188" s="216"/>
      <c r="G188" s="215"/>
      <c r="H188" s="217"/>
    </row>
    <row r="189" spans="1:8">
      <c r="E189" s="215"/>
      <c r="F189" s="216"/>
      <c r="G189" s="215"/>
      <c r="H189" s="217"/>
    </row>
    <row r="190" spans="1:8">
      <c r="E190" s="215"/>
      <c r="F190" s="216"/>
      <c r="G190" s="215"/>
      <c r="H190" s="217"/>
    </row>
    <row r="191" spans="1:8">
      <c r="A191" s="91" t="s">
        <v>4</v>
      </c>
      <c r="B191" s="92" t="s">
        <v>10</v>
      </c>
      <c r="E191" s="215"/>
      <c r="F191" s="216"/>
      <c r="G191" s="215"/>
      <c r="H191" s="217"/>
    </row>
    <row r="192" spans="1:8">
      <c r="A192" s="90" t="s">
        <v>54</v>
      </c>
      <c r="E192" s="215"/>
      <c r="F192" s="216"/>
      <c r="G192" s="215"/>
      <c r="H192" s="217"/>
    </row>
    <row r="193" spans="1:8">
      <c r="A193" s="91" t="s">
        <v>268</v>
      </c>
      <c r="E193" s="215"/>
      <c r="F193" s="216"/>
      <c r="G193" s="215"/>
      <c r="H193" s="217"/>
    </row>
    <row r="194" spans="1:8">
      <c r="A194" s="90" t="s">
        <v>11</v>
      </c>
      <c r="B194" s="89">
        <v>1</v>
      </c>
      <c r="E194" s="215"/>
      <c r="F194" s="216"/>
      <c r="G194" s="215"/>
      <c r="H194" s="217"/>
    </row>
    <row r="195" spans="1:8">
      <c r="A195" s="90" t="s">
        <v>12</v>
      </c>
      <c r="B195" s="89">
        <v>0.75</v>
      </c>
      <c r="E195" s="215"/>
      <c r="F195" s="216"/>
      <c r="G195" s="215"/>
      <c r="H195" s="217"/>
    </row>
    <row r="196" spans="1:8">
      <c r="A196" s="90" t="s">
        <v>63</v>
      </c>
      <c r="B196" s="89">
        <v>1</v>
      </c>
      <c r="E196" s="215"/>
      <c r="F196" s="216"/>
      <c r="G196" s="215"/>
      <c r="H196" s="217"/>
    </row>
    <row r="197" spans="1:8">
      <c r="E197" s="215"/>
      <c r="F197" s="216"/>
      <c r="G197" s="215"/>
      <c r="H197" s="217"/>
    </row>
    <row r="198" spans="1:8">
      <c r="A198" s="91" t="s">
        <v>64</v>
      </c>
      <c r="B198" s="92" t="s">
        <v>575</v>
      </c>
      <c r="E198" s="215"/>
      <c r="F198" s="216"/>
      <c r="G198" s="215"/>
      <c r="H198" s="217"/>
    </row>
    <row r="199" spans="1:8">
      <c r="A199" s="91" t="s">
        <v>14</v>
      </c>
      <c r="B199" s="139">
        <v>1</v>
      </c>
      <c r="E199" s="215"/>
      <c r="F199" s="216"/>
      <c r="G199" s="215"/>
      <c r="H199" s="217"/>
    </row>
    <row r="200" spans="1:8" ht="13.5" thickBot="1">
      <c r="B200" s="94" t="s">
        <v>121</v>
      </c>
      <c r="E200" s="215"/>
      <c r="F200" s="216"/>
      <c r="G200" s="215"/>
      <c r="H200" s="217"/>
    </row>
    <row r="201" spans="1:8" ht="13.5" thickBot="1">
      <c r="A201" s="90" t="s">
        <v>574</v>
      </c>
      <c r="B201" s="203">
        <v>1.5</v>
      </c>
      <c r="C201" s="87" t="s">
        <v>30</v>
      </c>
      <c r="E201" s="215"/>
      <c r="F201" s="216"/>
      <c r="G201" s="215"/>
      <c r="H201" s="217"/>
    </row>
    <row r="202" spans="1:8">
      <c r="B202" s="94" t="s">
        <v>481</v>
      </c>
      <c r="E202" s="215"/>
      <c r="F202" s="216"/>
      <c r="G202" s="215"/>
      <c r="H202" s="217"/>
    </row>
    <row r="203" spans="1:8">
      <c r="A203" s="91" t="s">
        <v>13</v>
      </c>
      <c r="B203" s="71" t="s">
        <v>15</v>
      </c>
      <c r="E203" s="215"/>
      <c r="F203" s="216"/>
      <c r="G203" s="215"/>
      <c r="H203" s="217"/>
    </row>
    <row r="204" spans="1:8">
      <c r="A204" s="91" t="s">
        <v>31</v>
      </c>
      <c r="B204" s="71">
        <f>0.869 * B201^ -0.097</f>
        <v>0.83548551401223503</v>
      </c>
      <c r="D204" s="91" t="s">
        <v>3</v>
      </c>
      <c r="E204" s="215"/>
      <c r="F204" s="216"/>
      <c r="G204" s="215"/>
      <c r="H204" s="217"/>
    </row>
    <row r="205" spans="1:8">
      <c r="E205" s="215"/>
      <c r="F205" s="216"/>
      <c r="G205" s="215"/>
      <c r="H205" s="217"/>
    </row>
    <row r="206" spans="1:8">
      <c r="E206" s="215"/>
      <c r="F206" s="216"/>
      <c r="G206" s="215"/>
      <c r="H206" s="217"/>
    </row>
    <row r="207" spans="1:8">
      <c r="E207" s="215"/>
      <c r="F207" s="216"/>
      <c r="G207" s="215"/>
      <c r="H207" s="217"/>
    </row>
    <row r="208" spans="1:8">
      <c r="E208" s="215"/>
      <c r="F208" s="216"/>
      <c r="G208" s="215"/>
      <c r="H208" s="217"/>
    </row>
    <row r="209" spans="5:8">
      <c r="E209" s="215"/>
      <c r="F209" s="216"/>
      <c r="G209" s="215"/>
      <c r="H209" s="217"/>
    </row>
    <row r="210" spans="5:8">
      <c r="E210" s="215"/>
      <c r="F210" s="216"/>
      <c r="G210" s="215"/>
      <c r="H210" s="217"/>
    </row>
    <row r="211" spans="5:8">
      <c r="E211" s="215"/>
      <c r="F211" s="216"/>
      <c r="G211" s="215"/>
      <c r="H211" s="217"/>
    </row>
    <row r="212" spans="5:8">
      <c r="E212" s="215"/>
      <c r="F212" s="216"/>
      <c r="G212" s="215"/>
      <c r="H212" s="217"/>
    </row>
    <row r="213" spans="5:8">
      <c r="E213" s="215"/>
      <c r="F213" s="216"/>
      <c r="G213" s="215"/>
      <c r="H213" s="217"/>
    </row>
    <row r="214" spans="5:8">
      <c r="E214" s="215"/>
      <c r="F214" s="216"/>
      <c r="G214" s="215"/>
      <c r="H214" s="217"/>
    </row>
    <row r="215" spans="5:8">
      <c r="E215" s="215"/>
      <c r="F215" s="216"/>
      <c r="G215" s="215"/>
      <c r="H215" s="217"/>
    </row>
    <row r="216" spans="5:8">
      <c r="E216" s="215"/>
      <c r="F216" s="216"/>
      <c r="G216" s="215"/>
      <c r="H216" s="217"/>
    </row>
    <row r="217" spans="5:8">
      <c r="E217" s="215"/>
      <c r="F217" s="216"/>
      <c r="G217" s="215"/>
      <c r="H217" s="217"/>
    </row>
    <row r="218" spans="5:8">
      <c r="E218" s="215"/>
      <c r="F218" s="216"/>
      <c r="G218" s="215"/>
      <c r="H218" s="217"/>
    </row>
    <row r="219" spans="5:8">
      <c r="E219" s="215"/>
      <c r="F219" s="216"/>
      <c r="G219" s="215"/>
      <c r="H219" s="217"/>
    </row>
    <row r="220" spans="5:8">
      <c r="E220" s="215"/>
      <c r="F220" s="216"/>
      <c r="G220" s="215"/>
      <c r="H220" s="217"/>
    </row>
    <row r="221" spans="5:8">
      <c r="E221" s="215"/>
      <c r="F221" s="216"/>
      <c r="G221" s="215"/>
      <c r="H221" s="217"/>
    </row>
    <row r="222" spans="5:8">
      <c r="E222" s="215"/>
      <c r="F222" s="216"/>
      <c r="G222" s="215"/>
      <c r="H222" s="217"/>
    </row>
    <row r="223" spans="5:8">
      <c r="E223" s="215"/>
      <c r="F223" s="216"/>
      <c r="G223" s="215"/>
      <c r="H223" s="217"/>
    </row>
    <row r="224" spans="5:8">
      <c r="E224" s="215"/>
      <c r="F224" s="216"/>
      <c r="G224" s="215"/>
      <c r="H224" s="217"/>
    </row>
    <row r="225" spans="1:8">
      <c r="E225" s="215"/>
      <c r="F225" s="216"/>
      <c r="G225" s="215"/>
      <c r="H225" s="217"/>
    </row>
    <row r="226" spans="1:8">
      <c r="E226" s="215"/>
      <c r="F226" s="216"/>
      <c r="G226" s="215"/>
      <c r="H226" s="217"/>
    </row>
    <row r="227" spans="1:8">
      <c r="E227" s="215"/>
      <c r="F227" s="216"/>
      <c r="G227" s="215"/>
      <c r="H227" s="217"/>
    </row>
    <row r="228" spans="1:8">
      <c r="E228" s="215"/>
      <c r="F228" s="216"/>
      <c r="G228" s="215"/>
      <c r="H228" s="217"/>
    </row>
    <row r="229" spans="1:8">
      <c r="A229" s="71" t="s">
        <v>591</v>
      </c>
      <c r="E229" s="215"/>
      <c r="F229" s="216"/>
      <c r="G229" s="215"/>
      <c r="H229" s="217"/>
    </row>
    <row r="230" spans="1:8">
      <c r="A230" s="89" t="s">
        <v>577</v>
      </c>
      <c r="E230" s="215"/>
      <c r="F230" s="216"/>
      <c r="G230" s="215"/>
      <c r="H230" s="217"/>
    </row>
    <row r="231" spans="1:8">
      <c r="A231" s="89" t="s">
        <v>576</v>
      </c>
      <c r="E231" s="215"/>
      <c r="F231" s="216"/>
      <c r="G231" s="215"/>
      <c r="H231" s="217"/>
    </row>
    <row r="232" spans="1:8">
      <c r="A232" s="89" t="s">
        <v>578</v>
      </c>
      <c r="E232" s="215"/>
      <c r="F232" s="216"/>
      <c r="G232" s="215"/>
      <c r="H232" s="217"/>
    </row>
    <row r="233" spans="1:8" ht="13.5" thickBot="1">
      <c r="A233" s="87"/>
      <c r="B233" s="94" t="s">
        <v>121</v>
      </c>
      <c r="E233" s="215"/>
      <c r="F233" s="216"/>
      <c r="G233" s="215"/>
      <c r="H233" s="217"/>
    </row>
    <row r="234" spans="1:8" ht="13.5" thickBot="1">
      <c r="A234" s="90" t="s">
        <v>581</v>
      </c>
      <c r="B234" s="203">
        <v>2</v>
      </c>
      <c r="E234" s="215"/>
      <c r="F234" s="216"/>
      <c r="G234" s="215"/>
      <c r="H234" s="217"/>
    </row>
    <row r="235" spans="1:8">
      <c r="B235" s="94" t="s">
        <v>447</v>
      </c>
      <c r="E235" s="215"/>
      <c r="F235" s="216"/>
      <c r="G235" s="215"/>
      <c r="H235" s="217"/>
    </row>
    <row r="236" spans="1:8">
      <c r="A236" s="90" t="s">
        <v>582</v>
      </c>
      <c r="B236" s="71" t="s">
        <v>579</v>
      </c>
      <c r="E236" s="215"/>
      <c r="F236" s="216"/>
      <c r="G236" s="215"/>
      <c r="H236" s="217"/>
    </row>
    <row r="237" spans="1:8">
      <c r="A237" s="90" t="s">
        <v>65</v>
      </c>
      <c r="B237" s="71">
        <f>0.0765*B234^2</f>
        <v>0.30599999999999999</v>
      </c>
      <c r="C237" s="87" t="s">
        <v>269</v>
      </c>
      <c r="E237" s="215"/>
      <c r="F237" s="216"/>
      <c r="G237" s="215"/>
      <c r="H237" s="217"/>
    </row>
    <row r="238" spans="1:8">
      <c r="A238" s="90" t="s">
        <v>583</v>
      </c>
      <c r="B238" s="71" t="s">
        <v>580</v>
      </c>
      <c r="E238" s="215"/>
      <c r="F238" s="216"/>
      <c r="G238" s="215"/>
      <c r="H238" s="217"/>
    </row>
    <row r="239" spans="1:8">
      <c r="A239" s="90" t="s">
        <v>65</v>
      </c>
      <c r="B239" s="71">
        <f>0.01045*B234^2</f>
        <v>4.1799999999999997E-2</v>
      </c>
      <c r="C239" s="87" t="s">
        <v>269</v>
      </c>
      <c r="E239" s="215"/>
      <c r="F239" s="216"/>
      <c r="G239" s="215"/>
      <c r="H239" s="217"/>
    </row>
    <row r="240" spans="1:8">
      <c r="B240" s="71"/>
      <c r="E240" s="215"/>
      <c r="F240" s="216"/>
      <c r="G240" s="215"/>
      <c r="H240" s="217"/>
    </row>
    <row r="241" spans="1:10" ht="13.5" thickBot="1">
      <c r="A241" s="87"/>
      <c r="B241" s="94" t="s">
        <v>121</v>
      </c>
      <c r="E241" s="215"/>
      <c r="F241" s="216"/>
      <c r="G241" s="215"/>
      <c r="H241" s="217"/>
    </row>
    <row r="242" spans="1:10">
      <c r="A242" s="90" t="s">
        <v>585</v>
      </c>
      <c r="B242" s="204">
        <v>1</v>
      </c>
      <c r="E242" s="215"/>
      <c r="F242" s="216"/>
      <c r="G242" s="215"/>
      <c r="H242" s="217"/>
    </row>
    <row r="243" spans="1:10" ht="13.5" thickBot="1">
      <c r="A243" s="90" t="s">
        <v>584</v>
      </c>
      <c r="B243" s="205">
        <v>2</v>
      </c>
      <c r="E243" s="215"/>
      <c r="F243" s="216"/>
      <c r="G243" s="215"/>
      <c r="H243" s="217"/>
    </row>
    <row r="244" spans="1:10">
      <c r="B244" s="94" t="s">
        <v>447</v>
      </c>
      <c r="E244" s="215"/>
      <c r="F244" s="216"/>
      <c r="G244" s="215"/>
      <c r="H244" s="217"/>
    </row>
    <row r="245" spans="1:10">
      <c r="A245" s="90" t="s">
        <v>589</v>
      </c>
      <c r="B245" s="71" t="s">
        <v>586</v>
      </c>
      <c r="E245" s="215"/>
      <c r="F245" s="216"/>
      <c r="G245" s="215"/>
      <c r="H245" s="217"/>
    </row>
    <row r="246" spans="1:10">
      <c r="A246" s="90" t="s">
        <v>65</v>
      </c>
      <c r="B246" s="71">
        <f>0.05*B242*B243</f>
        <v>0.1</v>
      </c>
      <c r="C246" s="87" t="s">
        <v>269</v>
      </c>
      <c r="E246" s="215"/>
      <c r="F246" s="216"/>
      <c r="G246" s="215"/>
      <c r="H246" s="217"/>
    </row>
    <row r="247" spans="1:10">
      <c r="A247" s="87"/>
      <c r="B247" s="57"/>
      <c r="E247" s="215"/>
      <c r="F247" s="216"/>
      <c r="G247" s="215"/>
      <c r="H247" s="217"/>
    </row>
    <row r="248" spans="1:10" ht="13.5" thickBot="1">
      <c r="A248" s="90" t="s">
        <v>590</v>
      </c>
      <c r="B248" s="94" t="s">
        <v>121</v>
      </c>
      <c r="E248" s="215"/>
      <c r="F248" s="218"/>
      <c r="G248" s="228"/>
      <c r="H248" s="215"/>
    </row>
    <row r="249" spans="1:10">
      <c r="A249" s="90" t="s">
        <v>587</v>
      </c>
      <c r="B249" s="204">
        <v>1</v>
      </c>
      <c r="E249" s="215"/>
      <c r="F249" s="220"/>
      <c r="G249" s="221"/>
      <c r="H249" s="215"/>
    </row>
    <row r="250" spans="1:10" ht="13.5" thickBot="1">
      <c r="A250" s="90" t="s">
        <v>588</v>
      </c>
      <c r="B250" s="205">
        <v>2</v>
      </c>
      <c r="E250" s="215"/>
      <c r="F250" s="220"/>
      <c r="G250" s="221"/>
      <c r="H250" s="215"/>
    </row>
    <row r="251" spans="1:10">
      <c r="B251" s="94" t="s">
        <v>447</v>
      </c>
      <c r="E251" s="215"/>
      <c r="F251" s="220"/>
      <c r="G251" s="231"/>
      <c r="H251" s="221"/>
    </row>
    <row r="252" spans="1:10">
      <c r="A252" s="90" t="s">
        <v>589</v>
      </c>
      <c r="B252" s="71" t="s">
        <v>586</v>
      </c>
      <c r="E252" s="215"/>
      <c r="F252" s="216"/>
      <c r="G252" s="215"/>
      <c r="H252" s="217"/>
    </row>
    <row r="253" spans="1:10">
      <c r="A253" s="90" t="s">
        <v>65</v>
      </c>
      <c r="B253" s="71">
        <f>0.05*B249*B250</f>
        <v>0.1</v>
      </c>
      <c r="C253" s="87" t="s">
        <v>269</v>
      </c>
      <c r="E253" s="215"/>
      <c r="F253" s="216"/>
      <c r="G253" s="215"/>
      <c r="H253" s="217"/>
      <c r="J253" s="70"/>
    </row>
    <row r="254" spans="1:10">
      <c r="E254" s="215"/>
      <c r="F254" s="216"/>
      <c r="G254" s="215"/>
      <c r="H254" s="217"/>
      <c r="J254" s="70"/>
    </row>
    <row r="255" spans="1:10">
      <c r="D255" s="91" t="s">
        <v>109</v>
      </c>
      <c r="E255" s="215"/>
      <c r="F255" s="216"/>
      <c r="G255" s="215"/>
      <c r="H255" s="217"/>
      <c r="J255" s="70"/>
    </row>
    <row r="256" spans="1:10" ht="13.5" thickBot="1">
      <c r="B256" s="94" t="s">
        <v>121</v>
      </c>
      <c r="E256" s="215"/>
      <c r="F256" s="216"/>
      <c r="G256" s="215"/>
      <c r="H256" s="217"/>
    </row>
    <row r="257" spans="1:8" ht="13.5" thickBot="1">
      <c r="A257" s="90" t="s">
        <v>589</v>
      </c>
      <c r="B257" s="203">
        <v>0.1</v>
      </c>
      <c r="E257" s="232"/>
      <c r="F257" s="216"/>
      <c r="G257" s="215"/>
      <c r="H257" s="217"/>
    </row>
    <row r="258" spans="1:8">
      <c r="B258" s="94" t="s">
        <v>447</v>
      </c>
      <c r="E258" s="215"/>
      <c r="F258" s="216"/>
      <c r="G258" s="215"/>
      <c r="H258" s="217"/>
    </row>
    <row r="259" spans="1:8">
      <c r="A259" s="91" t="s">
        <v>81</v>
      </c>
      <c r="B259" s="63" t="s">
        <v>82</v>
      </c>
      <c r="C259" s="92"/>
      <c r="E259" s="215"/>
      <c r="F259" s="230"/>
      <c r="G259" s="215"/>
      <c r="H259" s="217"/>
    </row>
    <row r="260" spans="1:8">
      <c r="A260" s="91" t="s">
        <v>83</v>
      </c>
      <c r="B260" s="71">
        <f>(B257 / 0.0766)^0.5</f>
        <v>1.1425773622475752</v>
      </c>
      <c r="C260" s="92" t="s">
        <v>30</v>
      </c>
      <c r="E260" s="215"/>
      <c r="F260" s="216"/>
      <c r="G260" s="215"/>
      <c r="H260" s="217"/>
    </row>
    <row r="261" spans="1:8">
      <c r="A261" s="91" t="s">
        <v>31</v>
      </c>
      <c r="B261" s="63" t="s">
        <v>84</v>
      </c>
      <c r="C261" s="92"/>
      <c r="E261" s="215"/>
      <c r="F261" s="216"/>
      <c r="G261" s="215"/>
      <c r="H261" s="217"/>
    </row>
    <row r="262" spans="1:8">
      <c r="A262" s="91" t="s">
        <v>31</v>
      </c>
      <c r="B262" s="71">
        <f>1.189*B260^-0.097</f>
        <v>1.1737266078299975</v>
      </c>
      <c r="C262" s="92" t="s">
        <v>30</v>
      </c>
      <c r="E262" s="215"/>
      <c r="F262" s="216"/>
      <c r="G262" s="215"/>
      <c r="H262" s="217"/>
    </row>
    <row r="263" spans="1:8">
      <c r="E263" s="218"/>
      <c r="F263" s="233"/>
      <c r="G263" s="215"/>
      <c r="H263" s="217"/>
    </row>
    <row r="264" spans="1:8" ht="13.5" thickBot="1">
      <c r="A264" s="91" t="s">
        <v>598</v>
      </c>
      <c r="E264" s="218"/>
      <c r="F264" s="234"/>
      <c r="G264" s="215"/>
      <c r="H264" s="217"/>
    </row>
    <row r="265" spans="1:8" ht="13.5" thickBot="1">
      <c r="A265" s="90" t="s">
        <v>597</v>
      </c>
      <c r="B265" s="87" t="s">
        <v>679</v>
      </c>
      <c r="C265" s="126" t="s">
        <v>21</v>
      </c>
      <c r="D265" s="126" t="s">
        <v>22</v>
      </c>
      <c r="E265" s="218"/>
      <c r="F265" s="233"/>
      <c r="G265" s="215"/>
      <c r="H265" s="217"/>
    </row>
    <row r="266" spans="1:8">
      <c r="A266" s="90" t="s">
        <v>24</v>
      </c>
      <c r="B266" s="90" t="s">
        <v>16</v>
      </c>
      <c r="C266" s="113">
        <v>1.34</v>
      </c>
      <c r="D266" s="113">
        <v>-8.5000000000000006E-2</v>
      </c>
      <c r="E266" s="218"/>
      <c r="F266" s="233"/>
      <c r="G266" s="215"/>
      <c r="H266" s="217"/>
    </row>
    <row r="267" spans="1:8">
      <c r="A267" s="90" t="s">
        <v>25</v>
      </c>
      <c r="B267" s="90" t="s">
        <v>17</v>
      </c>
      <c r="C267" s="113">
        <v>2.7</v>
      </c>
      <c r="D267" s="113">
        <v>-0.26500000000000001</v>
      </c>
      <c r="E267" s="218"/>
      <c r="F267" s="234"/>
      <c r="G267" s="215"/>
      <c r="H267" s="217"/>
    </row>
    <row r="268" spans="1:8">
      <c r="B268" s="90" t="s">
        <v>18</v>
      </c>
      <c r="C268" s="113">
        <v>2.7</v>
      </c>
      <c r="D268" s="113">
        <v>-0.26500000000000001</v>
      </c>
      <c r="E268" s="215"/>
      <c r="F268" s="216"/>
      <c r="G268" s="215"/>
      <c r="H268" s="217"/>
    </row>
    <row r="269" spans="1:8">
      <c r="B269" s="90" t="s">
        <v>19</v>
      </c>
      <c r="C269" s="113">
        <v>14.4</v>
      </c>
      <c r="D269" s="113">
        <v>-0.71799999999999997</v>
      </c>
      <c r="E269" s="215"/>
      <c r="F269" s="216"/>
      <c r="G269" s="215"/>
      <c r="H269" s="217"/>
    </row>
    <row r="270" spans="1:8" ht="13.5" thickBot="1">
      <c r="B270" s="90" t="s">
        <v>20</v>
      </c>
      <c r="C270" s="114">
        <v>39.9</v>
      </c>
      <c r="D270" s="114">
        <v>-0.995</v>
      </c>
      <c r="E270" s="215"/>
      <c r="F270" s="216"/>
      <c r="G270" s="215"/>
      <c r="H270" s="217"/>
    </row>
    <row r="271" spans="1:8" ht="13.5" thickBot="1">
      <c r="B271" s="94" t="s">
        <v>121</v>
      </c>
      <c r="E271" s="215"/>
      <c r="F271" s="216"/>
      <c r="G271" s="215"/>
      <c r="H271" s="217"/>
    </row>
    <row r="272" spans="1:8">
      <c r="A272" s="90" t="s">
        <v>595</v>
      </c>
      <c r="B272" s="204">
        <v>1.34</v>
      </c>
      <c r="E272" s="215"/>
      <c r="F272" s="216"/>
      <c r="G272" s="215"/>
      <c r="H272" s="217"/>
    </row>
    <row r="273" spans="1:8">
      <c r="A273" s="90" t="s">
        <v>596</v>
      </c>
      <c r="B273" s="206">
        <v>-8.5000000000000006E-2</v>
      </c>
      <c r="E273" s="215"/>
      <c r="F273" s="216"/>
      <c r="G273" s="215"/>
      <c r="H273" s="217"/>
    </row>
    <row r="274" spans="1:8" ht="13.5" thickBot="1">
      <c r="A274" s="90" t="s">
        <v>264</v>
      </c>
      <c r="B274" s="207">
        <v>80</v>
      </c>
      <c r="C274" s="87" t="s">
        <v>593</v>
      </c>
      <c r="E274" s="215"/>
      <c r="F274" s="216"/>
      <c r="G274" s="215"/>
      <c r="H274" s="217"/>
    </row>
    <row r="275" spans="1:8">
      <c r="B275" s="94" t="s">
        <v>447</v>
      </c>
      <c r="E275" s="215"/>
      <c r="F275" s="216"/>
      <c r="G275" s="215"/>
      <c r="H275" s="217"/>
    </row>
    <row r="276" spans="1:8">
      <c r="A276" s="91" t="s">
        <v>28</v>
      </c>
      <c r="B276" s="92" t="s">
        <v>23</v>
      </c>
      <c r="E276" s="215"/>
      <c r="F276" s="216"/>
      <c r="G276" s="215"/>
      <c r="H276" s="217"/>
    </row>
    <row r="277" spans="1:8">
      <c r="A277" s="91" t="s">
        <v>28</v>
      </c>
      <c r="B277" s="71">
        <f>B272*B274^B273</f>
        <v>0.92329854138944245</v>
      </c>
      <c r="E277" s="215"/>
      <c r="F277" s="216"/>
      <c r="G277" s="215"/>
      <c r="H277" s="217"/>
    </row>
    <row r="278" spans="1:8">
      <c r="E278" s="215"/>
      <c r="F278" s="216"/>
      <c r="G278" s="215"/>
      <c r="H278" s="217"/>
    </row>
    <row r="279" spans="1:8">
      <c r="A279" s="91"/>
      <c r="D279" s="91"/>
      <c r="E279" s="215"/>
      <c r="F279" s="216"/>
      <c r="G279" s="215"/>
      <c r="H279" s="217"/>
    </row>
    <row r="280" spans="1:8">
      <c r="A280" s="91" t="s">
        <v>267</v>
      </c>
      <c r="E280" s="215"/>
      <c r="F280" s="216"/>
      <c r="G280" s="215"/>
      <c r="H280" s="217"/>
    </row>
    <row r="281" spans="1:8">
      <c r="A281" s="90" t="s">
        <v>32</v>
      </c>
      <c r="B281" s="89">
        <v>1</v>
      </c>
      <c r="E281" s="215"/>
      <c r="F281" s="216"/>
      <c r="G281" s="215"/>
      <c r="H281" s="217"/>
    </row>
    <row r="282" spans="1:8">
      <c r="A282" s="87"/>
      <c r="B282" s="57"/>
      <c r="E282" s="215"/>
      <c r="F282" s="216"/>
      <c r="G282" s="215"/>
      <c r="H282" s="217"/>
    </row>
    <row r="283" spans="1:8" ht="13.5" thickBot="1">
      <c r="A283" s="87"/>
      <c r="B283" s="94" t="s">
        <v>599</v>
      </c>
      <c r="E283" s="215"/>
      <c r="F283" s="216"/>
      <c r="G283" s="215"/>
      <c r="H283" s="217"/>
    </row>
    <row r="284" spans="1:8" ht="13.5" thickBot="1">
      <c r="A284" s="90" t="s">
        <v>592</v>
      </c>
      <c r="B284" s="208">
        <v>480</v>
      </c>
      <c r="E284" s="215">
        <v>600</v>
      </c>
      <c r="F284" s="216"/>
      <c r="G284" s="215"/>
      <c r="H284" s="217"/>
    </row>
    <row r="285" spans="1:8">
      <c r="B285" s="83" t="s">
        <v>481</v>
      </c>
      <c r="E285" s="215"/>
      <c r="F285" s="216"/>
      <c r="G285" s="215"/>
      <c r="H285" s="217"/>
    </row>
    <row r="286" spans="1:8">
      <c r="A286" s="91" t="s">
        <v>33</v>
      </c>
      <c r="B286" s="71" t="s">
        <v>34</v>
      </c>
      <c r="E286" s="215"/>
      <c r="F286" s="216"/>
      <c r="G286" s="215"/>
      <c r="H286" s="217"/>
    </row>
    <row r="287" spans="1:8">
      <c r="A287" s="91" t="s">
        <v>37</v>
      </c>
      <c r="B287" s="71">
        <f>1-0.0058*(B284-450)</f>
        <v>0.82600000000000007</v>
      </c>
      <c r="E287" s="215"/>
      <c r="F287" s="216"/>
      <c r="G287" s="215"/>
      <c r="H287" s="217"/>
    </row>
    <row r="288" spans="1:8" ht="13.5" thickBot="1">
      <c r="A288" s="87"/>
      <c r="B288" s="57"/>
      <c r="E288" s="215"/>
      <c r="F288" s="216"/>
      <c r="G288" s="215"/>
      <c r="H288" s="217"/>
    </row>
    <row r="289" spans="1:8" ht="13.5" thickBot="1">
      <c r="A289" s="168"/>
      <c r="B289" s="169" t="s">
        <v>599</v>
      </c>
      <c r="C289" s="170"/>
      <c r="D289" s="171"/>
      <c r="E289" s="215"/>
      <c r="F289" s="216"/>
      <c r="G289" s="215"/>
      <c r="H289" s="217"/>
    </row>
    <row r="290" spans="1:8" ht="13.5" thickBot="1">
      <c r="A290" s="172" t="s">
        <v>592</v>
      </c>
      <c r="B290" s="209">
        <v>700</v>
      </c>
      <c r="C290" s="173"/>
      <c r="D290" s="174"/>
      <c r="E290" s="215"/>
      <c r="F290" s="216"/>
      <c r="G290" s="215"/>
      <c r="H290" s="217"/>
    </row>
    <row r="291" spans="1:8">
      <c r="A291" s="172"/>
      <c r="B291" s="175" t="s">
        <v>481</v>
      </c>
      <c r="C291" s="173" t="s">
        <v>54</v>
      </c>
      <c r="D291" s="174"/>
      <c r="E291" s="215"/>
      <c r="F291" s="216"/>
      <c r="G291" s="215"/>
      <c r="H291" s="217"/>
    </row>
    <row r="292" spans="1:8">
      <c r="A292" s="176" t="s">
        <v>600</v>
      </c>
      <c r="B292" s="177" t="s">
        <v>36</v>
      </c>
      <c r="C292" s="173"/>
      <c r="D292" s="174"/>
      <c r="E292" s="215"/>
      <c r="F292" s="216"/>
      <c r="G292" s="215"/>
      <c r="H292" s="217"/>
    </row>
    <row r="293" spans="1:8" ht="13.5" thickBot="1">
      <c r="A293" s="178" t="s">
        <v>37</v>
      </c>
      <c r="B293" s="179">
        <f>1-0.0032*(B290-840)</f>
        <v>1.448</v>
      </c>
      <c r="C293" s="180"/>
      <c r="D293" s="181"/>
      <c r="E293" s="215"/>
      <c r="F293" s="216"/>
      <c r="G293" s="215"/>
      <c r="H293" s="217"/>
    </row>
    <row r="294" spans="1:8">
      <c r="E294" s="215"/>
      <c r="F294" s="216"/>
      <c r="G294" s="215"/>
      <c r="H294" s="217"/>
    </row>
    <row r="295" spans="1:8">
      <c r="E295" s="215"/>
      <c r="F295" s="216"/>
      <c r="G295" s="215"/>
      <c r="H295" s="217"/>
    </row>
    <row r="296" spans="1:8" ht="13.5" thickBot="1">
      <c r="B296" s="89"/>
      <c r="E296" s="215"/>
      <c r="F296" s="216"/>
      <c r="G296" s="215"/>
      <c r="H296" s="217"/>
    </row>
    <row r="297" spans="1:8">
      <c r="C297" s="122" t="s">
        <v>38</v>
      </c>
      <c r="D297" s="122" t="s">
        <v>40</v>
      </c>
      <c r="E297" s="215"/>
      <c r="F297" s="216"/>
      <c r="G297" s="215"/>
      <c r="H297" s="217"/>
    </row>
    <row r="298" spans="1:8" ht="13.5" thickBot="1">
      <c r="C298" s="132" t="s">
        <v>39</v>
      </c>
      <c r="D298" s="124"/>
      <c r="E298" s="215"/>
      <c r="F298" s="216"/>
      <c r="G298" s="215"/>
      <c r="H298" s="217"/>
    </row>
    <row r="299" spans="1:8">
      <c r="A299" s="91" t="s">
        <v>266</v>
      </c>
      <c r="C299" s="123">
        <v>50</v>
      </c>
      <c r="D299" s="123">
        <v>1</v>
      </c>
      <c r="E299" s="215"/>
      <c r="F299" s="216"/>
      <c r="G299" s="215"/>
      <c r="H299" s="217"/>
    </row>
    <row r="300" spans="1:8" ht="13.5" thickBot="1">
      <c r="A300" s="90" t="s">
        <v>594</v>
      </c>
      <c r="B300" s="94" t="s">
        <v>121</v>
      </c>
      <c r="C300" s="123">
        <v>90</v>
      </c>
      <c r="D300" s="123">
        <v>0.89700000000000002</v>
      </c>
      <c r="E300" s="215"/>
      <c r="F300" s="216"/>
      <c r="G300" s="215"/>
      <c r="H300" s="217"/>
    </row>
    <row r="301" spans="1:8">
      <c r="A301" s="90" t="s">
        <v>265</v>
      </c>
      <c r="B301" s="204">
        <v>90</v>
      </c>
      <c r="C301" s="123">
        <v>99</v>
      </c>
      <c r="D301" s="123">
        <v>0.81399999999999995</v>
      </c>
      <c r="E301" s="215"/>
      <c r="F301" s="216"/>
      <c r="G301" s="215"/>
      <c r="H301" s="217"/>
    </row>
    <row r="302" spans="1:8" ht="13.5" thickBot="1">
      <c r="A302" s="90" t="s">
        <v>41</v>
      </c>
      <c r="B302" s="205">
        <v>0.89700000000000002</v>
      </c>
      <c r="C302" s="123">
        <v>99.9</v>
      </c>
      <c r="D302" s="123">
        <v>0.753</v>
      </c>
      <c r="E302" s="215"/>
      <c r="F302" s="216"/>
      <c r="G302" s="215"/>
      <c r="H302" s="217"/>
    </row>
    <row r="303" spans="1:8">
      <c r="C303" s="123">
        <v>99.99</v>
      </c>
      <c r="D303" s="123">
        <v>0.70199999999999996</v>
      </c>
      <c r="E303" s="215"/>
      <c r="F303" s="216"/>
      <c r="G303" s="215"/>
      <c r="H303" s="217"/>
    </row>
    <row r="304" spans="1:8" ht="13.5" thickBot="1">
      <c r="B304" s="89"/>
      <c r="C304" s="124">
        <v>99.998999999999995</v>
      </c>
      <c r="D304" s="124">
        <v>0.65900000000000003</v>
      </c>
      <c r="E304" s="215"/>
      <c r="F304" s="216"/>
      <c r="G304" s="215"/>
      <c r="H304" s="217"/>
    </row>
    <row r="305" spans="1:8">
      <c r="D305" s="91" t="s">
        <v>110</v>
      </c>
      <c r="E305" s="215"/>
      <c r="F305" s="216"/>
      <c r="G305" s="215"/>
      <c r="H305" s="217"/>
    </row>
    <row r="306" spans="1:8" ht="13.5" thickBot="1">
      <c r="E306" s="215"/>
      <c r="F306" s="216"/>
      <c r="G306" s="215"/>
      <c r="H306" s="217"/>
    </row>
    <row r="307" spans="1:8" ht="13.5" thickBot="1">
      <c r="A307" s="71" t="s">
        <v>103</v>
      </c>
      <c r="C307" s="126" t="s">
        <v>55</v>
      </c>
      <c r="D307" s="126" t="s">
        <v>56</v>
      </c>
      <c r="E307" s="215"/>
      <c r="F307" s="216"/>
      <c r="G307" s="215"/>
      <c r="H307" s="217"/>
    </row>
    <row r="308" spans="1:8">
      <c r="A308" s="90" t="s">
        <v>102</v>
      </c>
      <c r="B308" s="87" t="s">
        <v>43</v>
      </c>
      <c r="C308" s="133">
        <v>1000000</v>
      </c>
      <c r="D308" s="123">
        <v>-3</v>
      </c>
      <c r="E308" s="215"/>
      <c r="F308" s="216"/>
      <c r="G308" s="215"/>
      <c r="H308" s="217"/>
    </row>
    <row r="309" spans="1:8">
      <c r="A309" s="90" t="s">
        <v>44</v>
      </c>
      <c r="B309" s="87" t="s">
        <v>45</v>
      </c>
      <c r="C309" s="133">
        <v>5000000</v>
      </c>
      <c r="D309" s="123">
        <v>-3.6989999999999998</v>
      </c>
      <c r="E309" s="215"/>
      <c r="F309" s="216"/>
      <c r="G309" s="215"/>
      <c r="H309" s="217"/>
    </row>
    <row r="310" spans="1:8">
      <c r="A310" s="90" t="s">
        <v>27</v>
      </c>
      <c r="B310" s="87" t="s">
        <v>46</v>
      </c>
      <c r="C310" s="133">
        <v>10000000</v>
      </c>
      <c r="D310" s="123">
        <v>4</v>
      </c>
      <c r="E310" s="215"/>
      <c r="F310" s="216"/>
      <c r="G310" s="215"/>
      <c r="H310" s="217"/>
    </row>
    <row r="311" spans="1:8">
      <c r="A311" s="90" t="s">
        <v>47</v>
      </c>
      <c r="B311" s="87" t="s">
        <v>48</v>
      </c>
      <c r="C311" s="133">
        <v>50000000</v>
      </c>
      <c r="D311" s="123">
        <v>4.6989999999999998</v>
      </c>
      <c r="E311" s="215"/>
      <c r="F311" s="216"/>
      <c r="G311" s="215"/>
      <c r="H311" s="217"/>
    </row>
    <row r="312" spans="1:8">
      <c r="C312" s="133">
        <v>100000000</v>
      </c>
      <c r="D312" s="123">
        <v>5</v>
      </c>
      <c r="E312" s="215"/>
      <c r="F312" s="216"/>
      <c r="G312" s="215"/>
      <c r="H312" s="217"/>
    </row>
    <row r="313" spans="1:8">
      <c r="A313" s="90" t="s">
        <v>59</v>
      </c>
      <c r="B313" s="70">
        <v>1000</v>
      </c>
      <c r="C313" s="133">
        <v>500000000</v>
      </c>
      <c r="D313" s="123">
        <v>5.6989999999999998</v>
      </c>
      <c r="E313" s="215"/>
      <c r="F313" s="216"/>
      <c r="G313" s="215"/>
      <c r="H313" s="217"/>
    </row>
    <row r="314" spans="1:8">
      <c r="A314" s="90" t="s">
        <v>57</v>
      </c>
      <c r="B314" s="89">
        <v>3</v>
      </c>
      <c r="C314" s="133">
        <v>1000000000</v>
      </c>
      <c r="D314" s="123">
        <v>6</v>
      </c>
      <c r="E314" s="215"/>
      <c r="F314" s="216"/>
      <c r="G314" s="215"/>
      <c r="H314" s="217"/>
    </row>
    <row r="315" spans="1:8" ht="13.5" thickBot="1">
      <c r="C315" s="134">
        <v>5000000000</v>
      </c>
      <c r="D315" s="124">
        <v>6.6989999999999998</v>
      </c>
      <c r="E315" s="215"/>
      <c r="F315" s="216"/>
      <c r="G315" s="215"/>
      <c r="H315" s="217"/>
    </row>
    <row r="316" spans="1:8">
      <c r="E316" s="215"/>
      <c r="F316" s="216"/>
      <c r="G316" s="215"/>
      <c r="H316" s="217"/>
    </row>
    <row r="317" spans="1:8">
      <c r="B317" s="89" t="s">
        <v>58</v>
      </c>
      <c r="D317" s="91"/>
      <c r="E317" s="215"/>
      <c r="F317" s="216"/>
      <c r="G317" s="215"/>
      <c r="H317" s="217"/>
    </row>
    <row r="318" spans="1:8">
      <c r="E318" s="215"/>
      <c r="F318" s="216"/>
      <c r="G318" s="215"/>
      <c r="H318" s="217"/>
    </row>
    <row r="319" spans="1:8">
      <c r="A319" s="90" t="s">
        <v>49</v>
      </c>
      <c r="B319" s="87" t="s">
        <v>50</v>
      </c>
      <c r="E319" s="215"/>
      <c r="F319" s="216"/>
      <c r="G319" s="215"/>
      <c r="H319" s="217"/>
    </row>
    <row r="320" spans="1:8">
      <c r="A320" s="90" t="s">
        <v>52</v>
      </c>
      <c r="B320" s="87" t="s">
        <v>51</v>
      </c>
      <c r="E320" s="215"/>
      <c r="F320" s="216"/>
      <c r="G320" s="215"/>
      <c r="H320" s="217"/>
    </row>
    <row r="321" spans="1:8">
      <c r="E321" s="215"/>
      <c r="F321" s="216"/>
      <c r="G321" s="215"/>
      <c r="H321" s="217"/>
    </row>
    <row r="322" spans="1:8">
      <c r="A322" s="89" t="s">
        <v>101</v>
      </c>
      <c r="B322" s="89"/>
      <c r="E322" s="215"/>
      <c r="F322" s="216"/>
      <c r="G322" s="215"/>
      <c r="H322" s="217"/>
    </row>
    <row r="323" spans="1:8">
      <c r="A323" s="90" t="s">
        <v>100</v>
      </c>
      <c r="B323" s="89" t="s">
        <v>43</v>
      </c>
      <c r="E323" s="215"/>
      <c r="F323" s="216"/>
      <c r="G323" s="215"/>
      <c r="H323" s="217"/>
    </row>
    <row r="324" spans="1:8">
      <c r="E324" s="215"/>
      <c r="F324" s="216"/>
      <c r="G324" s="215"/>
      <c r="H324" s="217"/>
    </row>
    <row r="325" spans="1:8">
      <c r="A325" s="89" t="s">
        <v>107</v>
      </c>
      <c r="E325" s="215"/>
      <c r="F325" s="216"/>
      <c r="G325" s="215"/>
      <c r="H325" s="217"/>
    </row>
    <row r="326" spans="1:8">
      <c r="A326" s="90" t="s">
        <v>105</v>
      </c>
      <c r="B326" s="89" t="s">
        <v>106</v>
      </c>
      <c r="E326" s="215"/>
      <c r="F326" s="216"/>
      <c r="G326" s="215"/>
      <c r="H326" s="217"/>
    </row>
    <row r="327" spans="1:8">
      <c r="A327" s="148" t="s">
        <v>613</v>
      </c>
      <c r="E327" s="215"/>
      <c r="F327" s="216"/>
      <c r="G327" s="215"/>
      <c r="H327" s="217"/>
    </row>
    <row r="328" spans="1:8">
      <c r="A328" s="71" t="s">
        <v>147</v>
      </c>
      <c r="E328" s="215"/>
      <c r="F328" s="216"/>
      <c r="G328" s="215"/>
      <c r="H328" s="217"/>
    </row>
    <row r="329" spans="1:8">
      <c r="A329" s="71" t="s">
        <v>148</v>
      </c>
      <c r="E329" s="215"/>
      <c r="F329" s="216"/>
      <c r="G329" s="215"/>
      <c r="H329" s="217"/>
    </row>
    <row r="330" spans="1:8">
      <c r="A330" s="71" t="s">
        <v>73</v>
      </c>
      <c r="E330" s="215"/>
      <c r="F330" s="216"/>
      <c r="G330" s="215"/>
      <c r="H330" s="217"/>
    </row>
    <row r="331" spans="1:8">
      <c r="A331" s="71" t="s">
        <v>149</v>
      </c>
      <c r="E331" s="215"/>
      <c r="F331" s="216"/>
      <c r="G331" s="215"/>
      <c r="H331" s="217"/>
    </row>
    <row r="332" spans="1:8">
      <c r="A332" s="71" t="s">
        <v>94</v>
      </c>
      <c r="E332" s="215"/>
      <c r="F332" s="216"/>
      <c r="G332" s="215"/>
      <c r="H332" s="217"/>
    </row>
    <row r="333" spans="1:8">
      <c r="A333" s="71"/>
      <c r="E333" s="215"/>
      <c r="F333" s="216"/>
      <c r="G333" s="215"/>
      <c r="H333" s="217"/>
    </row>
    <row r="334" spans="1:8">
      <c r="A334" s="71" t="s">
        <v>123</v>
      </c>
      <c r="E334" s="215"/>
      <c r="F334" s="216"/>
      <c r="G334" s="215"/>
      <c r="H334" s="217"/>
    </row>
    <row r="335" spans="1:8">
      <c r="A335" s="71" t="s">
        <v>122</v>
      </c>
      <c r="E335" s="215"/>
      <c r="F335" s="216"/>
      <c r="G335" s="215"/>
      <c r="H335" s="217"/>
    </row>
    <row r="336" spans="1:8">
      <c r="E336" s="215"/>
      <c r="F336" s="216"/>
      <c r="G336" s="215"/>
      <c r="H336" s="217"/>
    </row>
    <row r="337" spans="5:8">
      <c r="E337" s="215"/>
      <c r="F337" s="216"/>
      <c r="G337" s="215"/>
      <c r="H337" s="217"/>
    </row>
    <row r="338" spans="5:8">
      <c r="E338" s="215"/>
      <c r="F338" s="216"/>
      <c r="G338" s="215"/>
      <c r="H338" s="217"/>
    </row>
    <row r="339" spans="5:8">
      <c r="E339" s="215"/>
      <c r="F339" s="216"/>
      <c r="G339" s="215"/>
      <c r="H339" s="217"/>
    </row>
    <row r="340" spans="5:8">
      <c r="E340" s="215"/>
      <c r="F340" s="216"/>
      <c r="G340" s="215"/>
      <c r="H340" s="217"/>
    </row>
    <row r="341" spans="5:8">
      <c r="E341" s="215"/>
      <c r="F341" s="216"/>
      <c r="G341" s="215"/>
      <c r="H341" s="217"/>
    </row>
    <row r="342" spans="5:8">
      <c r="E342" s="215"/>
      <c r="F342" s="216"/>
      <c r="G342" s="215"/>
      <c r="H342" s="217"/>
    </row>
    <row r="343" spans="5:8">
      <c r="E343" s="215"/>
      <c r="F343" s="216"/>
      <c r="G343" s="215"/>
      <c r="H343" s="217"/>
    </row>
    <row r="344" spans="5:8">
      <c r="E344" s="215"/>
      <c r="F344" s="216"/>
      <c r="G344" s="215"/>
      <c r="H344" s="217"/>
    </row>
    <row r="345" spans="5:8">
      <c r="E345" s="215"/>
      <c r="F345" s="216"/>
      <c r="G345" s="215"/>
      <c r="H345" s="217"/>
    </row>
    <row r="346" spans="5:8">
      <c r="E346" s="215"/>
      <c r="F346" s="216"/>
      <c r="G346" s="215"/>
      <c r="H346" s="217"/>
    </row>
    <row r="347" spans="5:8">
      <c r="E347" s="215"/>
      <c r="F347" s="216"/>
      <c r="G347" s="215"/>
      <c r="H347" s="217"/>
    </row>
    <row r="348" spans="5:8">
      <c r="E348" s="215"/>
      <c r="F348" s="216"/>
      <c r="G348" s="215"/>
      <c r="H348" s="217"/>
    </row>
    <row r="349" spans="5:8">
      <c r="E349" s="215"/>
      <c r="F349" s="216"/>
      <c r="G349" s="215"/>
      <c r="H349" s="217"/>
    </row>
    <row r="350" spans="5:8">
      <c r="E350" s="215"/>
      <c r="F350" s="216"/>
      <c r="G350" s="215"/>
      <c r="H350" s="217"/>
    </row>
    <row r="351" spans="5:8">
      <c r="E351" s="215"/>
      <c r="F351" s="216"/>
      <c r="G351" s="215"/>
      <c r="H351" s="217"/>
    </row>
    <row r="352" spans="5:8">
      <c r="E352" s="215"/>
      <c r="F352" s="216"/>
      <c r="G352" s="215"/>
      <c r="H352" s="217"/>
    </row>
    <row r="353" spans="1:8">
      <c r="E353" s="215"/>
      <c r="F353" s="216"/>
      <c r="G353" s="215"/>
      <c r="H353" s="217"/>
    </row>
    <row r="354" spans="1:8">
      <c r="E354" s="215"/>
      <c r="F354" s="216"/>
      <c r="G354" s="215"/>
      <c r="H354" s="217"/>
    </row>
    <row r="355" spans="1:8">
      <c r="E355" s="215"/>
      <c r="F355" s="216"/>
      <c r="G355" s="215"/>
      <c r="H355" s="217"/>
    </row>
    <row r="356" spans="1:8">
      <c r="D356" s="91" t="s">
        <v>111</v>
      </c>
      <c r="E356" s="215"/>
      <c r="F356" s="216"/>
      <c r="G356" s="215"/>
      <c r="H356" s="217"/>
    </row>
    <row r="357" spans="1:8">
      <c r="A357" s="89" t="s">
        <v>79</v>
      </c>
      <c r="E357" s="215"/>
      <c r="F357" s="216"/>
      <c r="G357" s="215"/>
      <c r="H357" s="217"/>
    </row>
    <row r="358" spans="1:8" ht="13.5" thickBot="1">
      <c r="B358" s="94" t="s">
        <v>121</v>
      </c>
      <c r="E358" s="215"/>
      <c r="F358" s="216"/>
      <c r="G358" s="215"/>
      <c r="H358" s="217"/>
    </row>
    <row r="359" spans="1:8">
      <c r="A359" s="90" t="s">
        <v>75</v>
      </c>
      <c r="B359" s="210">
        <v>94</v>
      </c>
      <c r="C359" s="92" t="s">
        <v>133</v>
      </c>
      <c r="E359" s="215" t="s">
        <v>54</v>
      </c>
      <c r="F359" s="216"/>
      <c r="G359" s="215"/>
      <c r="H359" s="217"/>
    </row>
    <row r="360" spans="1:8" ht="13.5" thickBot="1">
      <c r="A360" s="90" t="s">
        <v>702</v>
      </c>
      <c r="B360" s="211">
        <v>0.5</v>
      </c>
      <c r="E360" s="215"/>
      <c r="F360" s="216"/>
      <c r="G360" s="215"/>
      <c r="H360" s="217"/>
    </row>
    <row r="361" spans="1:8">
      <c r="B361" s="94" t="s">
        <v>481</v>
      </c>
      <c r="E361" s="215"/>
      <c r="F361" s="216"/>
      <c r="G361" s="215"/>
      <c r="H361" s="217"/>
    </row>
    <row r="362" spans="1:8">
      <c r="A362" s="91" t="s">
        <v>77</v>
      </c>
      <c r="B362" s="92" t="s">
        <v>614</v>
      </c>
      <c r="C362" s="92"/>
      <c r="E362" s="215"/>
      <c r="F362" s="216"/>
      <c r="G362" s="215"/>
      <c r="H362" s="217"/>
    </row>
    <row r="363" spans="1:8">
      <c r="A363" s="91" t="s">
        <v>74</v>
      </c>
      <c r="B363" s="144">
        <f>B360*B359</f>
        <v>47</v>
      </c>
      <c r="C363" s="92" t="s">
        <v>133</v>
      </c>
      <c r="E363" s="215"/>
      <c r="F363" s="216"/>
      <c r="G363" s="215"/>
      <c r="H363" s="217"/>
    </row>
    <row r="364" spans="1:8">
      <c r="E364" s="215"/>
      <c r="F364" s="216"/>
      <c r="G364" s="215"/>
      <c r="H364" s="217"/>
    </row>
    <row r="365" spans="1:8" ht="13.5" thickBot="1">
      <c r="A365" s="89" t="s">
        <v>695</v>
      </c>
      <c r="B365" s="94" t="s">
        <v>121</v>
      </c>
      <c r="E365" s="215"/>
      <c r="F365" s="216"/>
      <c r="G365" s="215"/>
      <c r="H365" s="217"/>
    </row>
    <row r="366" spans="1:8" ht="13.5" thickBot="1">
      <c r="A366" s="90" t="s">
        <v>611</v>
      </c>
      <c r="B366" s="214">
        <v>1</v>
      </c>
      <c r="E366" s="215"/>
      <c r="F366" s="216"/>
      <c r="G366" s="215"/>
      <c r="H366" s="217"/>
    </row>
    <row r="367" spans="1:8">
      <c r="A367" s="89"/>
      <c r="B367" s="70"/>
      <c r="E367" s="215"/>
      <c r="F367" s="216"/>
      <c r="G367" s="215"/>
      <c r="H367" s="217"/>
    </row>
    <row r="368" spans="1:8">
      <c r="E368" s="215"/>
      <c r="F368" s="216"/>
      <c r="G368" s="215"/>
      <c r="H368" s="217"/>
    </row>
    <row r="369" spans="1:8" ht="13.5" thickBot="1">
      <c r="A369" s="89" t="s">
        <v>696</v>
      </c>
      <c r="B369" s="94" t="s">
        <v>121</v>
      </c>
      <c r="E369" s="215"/>
      <c r="F369" s="216"/>
      <c r="G369" s="215"/>
      <c r="H369" s="217"/>
    </row>
    <row r="370" spans="1:8">
      <c r="A370" s="90" t="s">
        <v>693</v>
      </c>
      <c r="B370" s="204">
        <v>0.1</v>
      </c>
      <c r="E370" s="215"/>
      <c r="F370" s="216"/>
      <c r="G370" s="215"/>
      <c r="H370" s="217"/>
    </row>
    <row r="371" spans="1:8" ht="13.5" thickBot="1">
      <c r="A371" s="90" t="s">
        <v>694</v>
      </c>
      <c r="B371" s="205">
        <v>1.1739999999999999</v>
      </c>
      <c r="E371" s="215"/>
      <c r="F371" s="216"/>
      <c r="G371" s="215"/>
      <c r="H371" s="217"/>
    </row>
    <row r="372" spans="1:8">
      <c r="A372" s="91"/>
      <c r="B372" s="288"/>
      <c r="C372" s="140"/>
      <c r="E372" s="215"/>
      <c r="F372" s="216"/>
      <c r="G372" s="215"/>
      <c r="H372" s="217"/>
    </row>
    <row r="373" spans="1:8">
      <c r="B373" s="71" t="s">
        <v>54</v>
      </c>
      <c r="E373" s="215"/>
      <c r="F373" s="216"/>
      <c r="G373" s="215"/>
      <c r="H373" s="217"/>
    </row>
    <row r="374" spans="1:8">
      <c r="E374" s="215"/>
      <c r="F374" s="216"/>
      <c r="G374" s="215"/>
      <c r="H374" s="217"/>
    </row>
    <row r="375" spans="1:8" ht="13.5" thickBot="1">
      <c r="A375" s="89" t="s">
        <v>85</v>
      </c>
      <c r="B375" s="94" t="s">
        <v>121</v>
      </c>
      <c r="E375" s="215"/>
      <c r="F375" s="216"/>
      <c r="G375" s="215"/>
      <c r="H375" s="217"/>
    </row>
    <row r="376" spans="1:8">
      <c r="A376" s="90" t="s">
        <v>26</v>
      </c>
      <c r="B376" s="204">
        <v>1.34</v>
      </c>
      <c r="E376" s="215"/>
      <c r="F376" s="216"/>
      <c r="G376" s="215"/>
      <c r="H376" s="217"/>
    </row>
    <row r="377" spans="1:8" ht="13.5" thickBot="1">
      <c r="A377" s="90" t="s">
        <v>27</v>
      </c>
      <c r="B377" s="205">
        <v>-8.5000000000000006E-2</v>
      </c>
      <c r="E377" s="215"/>
      <c r="F377" s="216"/>
      <c r="G377" s="215"/>
      <c r="H377" s="217"/>
    </row>
    <row r="378" spans="1:8">
      <c r="B378" s="94" t="s">
        <v>481</v>
      </c>
      <c r="E378" s="215"/>
      <c r="F378" s="216"/>
      <c r="G378" s="215"/>
      <c r="H378" s="217"/>
    </row>
    <row r="379" spans="1:8">
      <c r="A379" s="91" t="s">
        <v>28</v>
      </c>
      <c r="B379" s="92" t="s">
        <v>86</v>
      </c>
      <c r="E379" s="215"/>
      <c r="F379" s="216"/>
      <c r="G379" s="215"/>
      <c r="H379" s="217"/>
    </row>
    <row r="380" spans="1:8">
      <c r="A380" s="91" t="s">
        <v>28</v>
      </c>
      <c r="B380" s="71">
        <f>B376 * B359^B377</f>
        <v>0.91072850706666753</v>
      </c>
      <c r="E380" s="215"/>
      <c r="F380" s="216"/>
      <c r="G380" s="215"/>
      <c r="H380" s="217"/>
    </row>
    <row r="381" spans="1:8">
      <c r="E381" s="215"/>
      <c r="F381" s="216"/>
      <c r="G381" s="215"/>
      <c r="H381" s="217"/>
    </row>
    <row r="382" spans="1:8" ht="13.5" thickBot="1">
      <c r="A382" s="89" t="s">
        <v>87</v>
      </c>
      <c r="B382" s="94" t="s">
        <v>121</v>
      </c>
      <c r="E382" s="215"/>
      <c r="F382" s="216"/>
      <c r="G382" s="215"/>
      <c r="H382" s="217"/>
    </row>
    <row r="383" spans="1:8">
      <c r="A383" s="90" t="s">
        <v>602</v>
      </c>
      <c r="B383" s="210">
        <v>700</v>
      </c>
      <c r="C383" s="87" t="s">
        <v>35</v>
      </c>
      <c r="E383" s="215"/>
      <c r="F383" s="216"/>
      <c r="G383" s="215"/>
      <c r="H383" s="217"/>
    </row>
    <row r="384" spans="1:8" ht="13.5" thickBot="1">
      <c r="A384" s="287" t="s">
        <v>37</v>
      </c>
      <c r="B384" s="205">
        <v>1.448</v>
      </c>
      <c r="E384" s="215"/>
      <c r="F384" s="216"/>
      <c r="G384" s="215"/>
      <c r="H384" s="217"/>
    </row>
    <row r="385" spans="1:8">
      <c r="E385" s="215"/>
      <c r="F385" s="216"/>
      <c r="G385" s="215"/>
      <c r="H385" s="217"/>
    </row>
    <row r="386" spans="1:8" ht="13.5" thickBot="1">
      <c r="A386" s="89" t="s">
        <v>89</v>
      </c>
      <c r="B386" s="94" t="s">
        <v>121</v>
      </c>
      <c r="E386" s="215"/>
      <c r="F386" s="216"/>
      <c r="G386" s="215"/>
      <c r="H386" s="217"/>
    </row>
    <row r="387" spans="1:8">
      <c r="A387" s="90" t="s">
        <v>93</v>
      </c>
      <c r="B387" s="204">
        <v>99.99</v>
      </c>
      <c r="C387" s="87" t="s">
        <v>39</v>
      </c>
      <c r="E387" s="215"/>
      <c r="F387" s="216"/>
      <c r="G387" s="215"/>
      <c r="H387" s="217"/>
    </row>
    <row r="388" spans="1:8" ht="13.5" thickBot="1">
      <c r="A388" s="90" t="s">
        <v>41</v>
      </c>
      <c r="B388" s="205">
        <v>0.70199999999999996</v>
      </c>
      <c r="E388" s="215"/>
      <c r="F388" s="216"/>
      <c r="G388" s="215"/>
      <c r="H388" s="217"/>
    </row>
    <row r="389" spans="1:8">
      <c r="E389" s="215"/>
      <c r="F389" s="216"/>
      <c r="G389" s="215"/>
      <c r="H389" s="217"/>
    </row>
    <row r="390" spans="1:8">
      <c r="E390" s="215"/>
      <c r="F390" s="216"/>
      <c r="G390" s="215"/>
      <c r="H390" s="217"/>
    </row>
    <row r="391" spans="1:8">
      <c r="E391" s="215"/>
      <c r="F391" s="216"/>
      <c r="G391" s="215"/>
      <c r="H391" s="217"/>
    </row>
    <row r="392" spans="1:8">
      <c r="E392" s="215"/>
      <c r="F392" s="216"/>
      <c r="G392" s="215"/>
      <c r="H392" s="217"/>
    </row>
    <row r="393" spans="1:8">
      <c r="A393" s="71" t="s">
        <v>610</v>
      </c>
      <c r="B393" s="92" t="s">
        <v>10</v>
      </c>
      <c r="E393" s="215"/>
      <c r="F393" s="216"/>
      <c r="G393" s="215"/>
      <c r="H393" s="217"/>
    </row>
    <row r="394" spans="1:8">
      <c r="A394" s="91" t="s">
        <v>5</v>
      </c>
      <c r="B394" s="64">
        <f>B366*B371*B380*B384*B388*B363</f>
        <v>51.081137484002575</v>
      </c>
      <c r="C394" s="92" t="s">
        <v>133</v>
      </c>
      <c r="D394" s="87" t="s">
        <v>54</v>
      </c>
      <c r="E394" s="215"/>
      <c r="F394" s="216"/>
      <c r="G394" s="215"/>
      <c r="H394" s="217"/>
    </row>
    <row r="395" spans="1:8">
      <c r="E395" s="215"/>
      <c r="F395" s="216"/>
      <c r="G395" s="215"/>
      <c r="H395" s="217"/>
    </row>
    <row r="396" spans="1:8">
      <c r="A396" s="89" t="s">
        <v>603</v>
      </c>
      <c r="B396" s="94" t="s">
        <v>481</v>
      </c>
      <c r="E396" s="215"/>
      <c r="F396" s="216"/>
      <c r="G396" s="215"/>
      <c r="H396" s="217"/>
    </row>
    <row r="397" spans="1:8">
      <c r="A397" s="91" t="s">
        <v>604</v>
      </c>
      <c r="B397" s="144">
        <f>B359</f>
        <v>94</v>
      </c>
      <c r="C397" s="92" t="s">
        <v>133</v>
      </c>
      <c r="E397" s="215"/>
      <c r="F397" s="216"/>
      <c r="G397" s="215"/>
      <c r="H397" s="217"/>
    </row>
    <row r="398" spans="1:8">
      <c r="A398" s="91" t="s">
        <v>91</v>
      </c>
      <c r="B398" s="92" t="s">
        <v>90</v>
      </c>
      <c r="C398" s="92"/>
      <c r="E398" s="215"/>
      <c r="F398" s="216"/>
      <c r="G398" s="215"/>
      <c r="H398" s="217"/>
    </row>
    <row r="399" spans="1:8">
      <c r="A399" s="91" t="s">
        <v>91</v>
      </c>
      <c r="B399" s="63">
        <f>0.9 * B359</f>
        <v>84.600000000000009</v>
      </c>
      <c r="C399" s="92" t="s">
        <v>133</v>
      </c>
      <c r="E399" s="215"/>
      <c r="F399" s="216"/>
      <c r="G399" s="215"/>
      <c r="H399" s="217"/>
    </row>
    <row r="400" spans="1:8">
      <c r="B400" s="96"/>
      <c r="E400" s="215"/>
      <c r="F400" s="216"/>
      <c r="G400" s="215"/>
      <c r="H400" s="217"/>
    </row>
    <row r="401" spans="1:8">
      <c r="A401" s="89" t="s">
        <v>92</v>
      </c>
      <c r="E401" s="215"/>
      <c r="F401" s="216"/>
      <c r="G401" s="215"/>
      <c r="H401" s="217"/>
    </row>
    <row r="402" spans="1:8">
      <c r="E402" s="215"/>
      <c r="F402" s="216"/>
      <c r="G402" s="215"/>
      <c r="H402" s="217"/>
    </row>
    <row r="403" spans="1:8">
      <c r="A403" s="89" t="s">
        <v>605</v>
      </c>
      <c r="E403" s="215"/>
      <c r="F403" s="216"/>
      <c r="G403" s="215"/>
      <c r="H403" s="217"/>
    </row>
    <row r="404" spans="1:8">
      <c r="E404" s="215"/>
      <c r="F404" s="216"/>
      <c r="G404" s="215"/>
      <c r="H404" s="217"/>
    </row>
    <row r="405" spans="1:8">
      <c r="A405" s="89" t="s">
        <v>606</v>
      </c>
      <c r="E405" s="215"/>
      <c r="F405" s="216"/>
      <c r="G405" s="215"/>
      <c r="H405" s="217"/>
    </row>
    <row r="406" spans="1:8">
      <c r="A406" s="89" t="s">
        <v>104</v>
      </c>
      <c r="E406" s="215"/>
      <c r="F406" s="216"/>
      <c r="G406" s="215"/>
      <c r="H406" s="217"/>
    </row>
    <row r="407" spans="1:8">
      <c r="A407" s="89" t="s">
        <v>271</v>
      </c>
      <c r="D407" s="91" t="s">
        <v>112</v>
      </c>
      <c r="E407" s="215"/>
      <c r="F407" s="216"/>
      <c r="G407" s="215"/>
      <c r="H407" s="217"/>
    </row>
    <row r="408" spans="1:8">
      <c r="A408" s="89"/>
      <c r="B408" s="94" t="s">
        <v>599</v>
      </c>
      <c r="E408" s="215"/>
      <c r="F408" s="216"/>
      <c r="G408" s="215"/>
      <c r="H408" s="217"/>
    </row>
    <row r="409" spans="1:8" ht="13.5" thickBot="1">
      <c r="A409" s="71" t="s">
        <v>612</v>
      </c>
      <c r="E409" s="215"/>
      <c r="F409" s="216"/>
      <c r="G409" s="215"/>
      <c r="H409" s="217"/>
    </row>
    <row r="410" spans="1:8" ht="13.5" thickBot="1">
      <c r="A410" s="91" t="s">
        <v>607</v>
      </c>
      <c r="B410" s="214">
        <v>14.5</v>
      </c>
      <c r="C410" s="92" t="s">
        <v>133</v>
      </c>
      <c r="E410" s="215"/>
      <c r="F410" s="216"/>
      <c r="G410" s="215"/>
      <c r="H410" s="217"/>
    </row>
    <row r="411" spans="1:8">
      <c r="B411" s="94" t="s">
        <v>447</v>
      </c>
      <c r="E411" s="215"/>
      <c r="F411" s="216"/>
      <c r="G411" s="215"/>
      <c r="H411" s="217"/>
    </row>
    <row r="412" spans="1:8">
      <c r="A412" s="71" t="s">
        <v>601</v>
      </c>
      <c r="B412" s="71"/>
      <c r="C412" s="92"/>
      <c r="E412" s="215"/>
      <c r="F412" s="216"/>
      <c r="G412" s="215"/>
      <c r="H412" s="217"/>
    </row>
    <row r="413" spans="1:8">
      <c r="A413" s="91" t="s">
        <v>100</v>
      </c>
      <c r="B413" s="71" t="s">
        <v>43</v>
      </c>
      <c r="C413" s="92"/>
      <c r="E413" s="215"/>
      <c r="F413" s="216"/>
      <c r="G413" s="215"/>
      <c r="H413" s="217"/>
    </row>
    <row r="414" spans="1:8">
      <c r="A414" s="91"/>
      <c r="B414" s="92"/>
      <c r="C414" s="92"/>
      <c r="E414" s="215"/>
      <c r="F414" s="216"/>
      <c r="G414" s="215"/>
      <c r="H414" s="217"/>
    </row>
    <row r="415" spans="1:8">
      <c r="A415" s="91" t="s">
        <v>27</v>
      </c>
      <c r="B415" s="146" t="s">
        <v>95</v>
      </c>
      <c r="C415" s="92"/>
      <c r="E415" s="215"/>
      <c r="F415" s="216"/>
      <c r="G415" s="215"/>
      <c r="H415" s="217"/>
    </row>
    <row r="416" spans="1:8">
      <c r="A416" s="91" t="s">
        <v>27</v>
      </c>
      <c r="B416" s="147">
        <f>-(1/3) * LOG(B399 / B394)</f>
        <v>-7.3036601130647971E-2</v>
      </c>
      <c r="C416" s="92"/>
      <c r="E416" s="215"/>
      <c r="F416" s="216"/>
      <c r="G416" s="215"/>
      <c r="H416" s="217"/>
    </row>
    <row r="417" spans="1:8">
      <c r="A417" s="91"/>
      <c r="B417" s="92"/>
      <c r="C417" s="92"/>
      <c r="E417" s="215"/>
      <c r="F417" s="216"/>
      <c r="G417" s="215"/>
      <c r="H417" s="217"/>
    </row>
    <row r="418" spans="1:8">
      <c r="A418" s="91" t="s">
        <v>96</v>
      </c>
      <c r="B418" s="71" t="s">
        <v>97</v>
      </c>
      <c r="C418" s="92"/>
      <c r="E418" s="215"/>
      <c r="F418" s="216"/>
      <c r="G418" s="215"/>
      <c r="H418" s="217"/>
    </row>
    <row r="419" spans="1:8">
      <c r="A419" s="91" t="s">
        <v>96</v>
      </c>
      <c r="B419" s="71">
        <f>LOG(B399) - 3 * B416</f>
        <v>2.1464801664309676</v>
      </c>
      <c r="C419" s="92"/>
      <c r="E419" s="215"/>
      <c r="F419" s="216"/>
      <c r="G419" s="215"/>
      <c r="H419" s="217"/>
    </row>
    <row r="420" spans="1:8">
      <c r="A420" s="91" t="s">
        <v>98</v>
      </c>
      <c r="B420" s="71" t="s">
        <v>99</v>
      </c>
      <c r="C420" s="92"/>
      <c r="E420" s="215"/>
      <c r="F420" s="216"/>
      <c r="G420" s="215"/>
      <c r="H420" s="217"/>
    </row>
    <row r="421" spans="1:8">
      <c r="A421" s="91" t="s">
        <v>98</v>
      </c>
      <c r="B421" s="144">
        <f>10^B419</f>
        <v>140.11355957453887</v>
      </c>
      <c r="C421" s="92"/>
      <c r="E421" s="215"/>
      <c r="F421" s="216"/>
      <c r="G421" s="215"/>
      <c r="H421" s="217"/>
    </row>
    <row r="422" spans="1:8">
      <c r="A422" s="91"/>
      <c r="B422" s="92"/>
      <c r="C422" s="92"/>
      <c r="E422" s="215"/>
      <c r="F422" s="216"/>
      <c r="G422" s="215"/>
      <c r="H422" s="217"/>
    </row>
    <row r="423" spans="1:8">
      <c r="A423" s="71" t="s">
        <v>101</v>
      </c>
      <c r="B423" s="71"/>
      <c r="C423" s="92"/>
      <c r="E423" s="215"/>
      <c r="F423" s="216"/>
      <c r="G423" s="215"/>
      <c r="H423" s="217"/>
    </row>
    <row r="424" spans="1:8">
      <c r="A424" s="91" t="s">
        <v>100</v>
      </c>
      <c r="B424" s="71" t="s">
        <v>43</v>
      </c>
      <c r="C424" s="92"/>
      <c r="E424" s="215"/>
      <c r="F424" s="216"/>
      <c r="G424" s="215"/>
      <c r="H424" s="217"/>
    </row>
    <row r="425" spans="1:8">
      <c r="A425" s="91"/>
      <c r="B425" s="92"/>
      <c r="C425" s="92"/>
      <c r="E425" s="215"/>
      <c r="F425" s="216"/>
      <c r="G425" s="215"/>
      <c r="H425" s="217"/>
    </row>
    <row r="426" spans="1:8">
      <c r="A426" s="71" t="s">
        <v>107</v>
      </c>
      <c r="B426" s="92"/>
      <c r="C426" s="92"/>
      <c r="E426" s="215"/>
      <c r="F426" s="216"/>
      <c r="G426" s="215"/>
      <c r="H426" s="217"/>
    </row>
    <row r="427" spans="1:8">
      <c r="A427" s="91" t="s">
        <v>105</v>
      </c>
      <c r="B427" s="71" t="s">
        <v>106</v>
      </c>
      <c r="C427" s="92"/>
      <c r="E427" s="215"/>
      <c r="F427" s="216"/>
      <c r="G427" s="215"/>
      <c r="H427" s="217"/>
    </row>
    <row r="428" spans="1:8">
      <c r="A428" s="91" t="s">
        <v>108</v>
      </c>
      <c r="B428" s="145">
        <f>((B410/B421)^(1/B416))</f>
        <v>30755623302331.969</v>
      </c>
      <c r="C428" s="92" t="s">
        <v>608</v>
      </c>
      <c r="E428" s="215"/>
      <c r="F428" s="216"/>
      <c r="G428" s="215"/>
      <c r="H428" s="217"/>
    </row>
    <row r="429" spans="1:8">
      <c r="A429" s="91" t="s">
        <v>609</v>
      </c>
      <c r="B429" s="97">
        <f>B428</f>
        <v>30755623302331.969</v>
      </c>
      <c r="C429" s="92" t="s">
        <v>608</v>
      </c>
      <c r="E429" s="215"/>
      <c r="F429" s="216"/>
      <c r="G429" s="215"/>
      <c r="H429" s="217"/>
    </row>
    <row r="430" spans="1:8">
      <c r="E430" s="215"/>
      <c r="F430" s="216"/>
      <c r="G430" s="215"/>
      <c r="H430" s="217"/>
    </row>
    <row r="431" spans="1:8">
      <c r="A431" s="71" t="s">
        <v>615</v>
      </c>
      <c r="E431" s="215"/>
      <c r="F431" s="216"/>
      <c r="G431" s="215"/>
      <c r="H431" s="217"/>
    </row>
    <row r="432" spans="1:8">
      <c r="E432" s="215"/>
      <c r="F432" s="216"/>
      <c r="G432" s="215"/>
      <c r="H432" s="217"/>
    </row>
    <row r="433" spans="1:8">
      <c r="E433" s="215"/>
      <c r="F433" s="216"/>
      <c r="G433" s="215"/>
      <c r="H433" s="217"/>
    </row>
    <row r="434" spans="1:8">
      <c r="E434" s="215"/>
      <c r="F434" s="216"/>
      <c r="G434" s="215"/>
      <c r="H434" s="217"/>
    </row>
    <row r="435" spans="1:8" ht="15">
      <c r="A435" s="127" t="s">
        <v>153</v>
      </c>
      <c r="B435" s="128"/>
      <c r="C435" s="128"/>
      <c r="D435" s="128"/>
      <c r="E435" s="215"/>
      <c r="F435" s="216"/>
      <c r="G435" s="215"/>
      <c r="H435" s="217"/>
    </row>
    <row r="436" spans="1:8" ht="15.75">
      <c r="A436" s="129" t="s">
        <v>154</v>
      </c>
      <c r="B436" s="128"/>
      <c r="C436" s="128"/>
      <c r="D436" s="128"/>
      <c r="E436" s="215"/>
      <c r="F436" s="216"/>
      <c r="G436" s="215"/>
      <c r="H436" s="217"/>
    </row>
    <row r="437" spans="1:8" ht="15">
      <c r="A437" s="128" t="s">
        <v>155</v>
      </c>
      <c r="B437" s="128"/>
      <c r="C437" s="128"/>
      <c r="D437" s="128"/>
      <c r="E437" s="215"/>
      <c r="F437" s="216"/>
      <c r="G437" s="215"/>
      <c r="H437" s="217"/>
    </row>
    <row r="438" spans="1:8" ht="15.75">
      <c r="A438" s="129" t="s">
        <v>156</v>
      </c>
      <c r="B438" s="128"/>
      <c r="C438" s="128"/>
      <c r="D438" s="128"/>
      <c r="E438" s="215"/>
      <c r="F438" s="216"/>
      <c r="G438" s="215"/>
      <c r="H438" s="217"/>
    </row>
    <row r="439" spans="1:8">
      <c r="E439" s="215"/>
      <c r="F439" s="216"/>
      <c r="G439" s="215"/>
      <c r="H439" s="217"/>
    </row>
    <row r="440" spans="1:8">
      <c r="E440" s="215"/>
      <c r="F440" s="216"/>
      <c r="G440" s="215"/>
      <c r="H440" s="217"/>
    </row>
    <row r="441" spans="1:8">
      <c r="E441" s="215"/>
      <c r="F441" s="216"/>
      <c r="G441" s="215"/>
      <c r="H441" s="217"/>
    </row>
    <row r="442" spans="1:8">
      <c r="E442" s="215"/>
      <c r="F442" s="216"/>
      <c r="G442" s="215"/>
      <c r="H442" s="217"/>
    </row>
    <row r="443" spans="1:8">
      <c r="E443" s="215"/>
      <c r="F443" s="216"/>
      <c r="G443" s="215"/>
      <c r="H443" s="217"/>
    </row>
    <row r="444" spans="1:8">
      <c r="E444" s="215"/>
      <c r="F444" s="216"/>
      <c r="G444" s="215"/>
      <c r="H444" s="217"/>
    </row>
    <row r="445" spans="1:8">
      <c r="E445" s="215"/>
      <c r="F445" s="216"/>
      <c r="G445" s="215"/>
      <c r="H445" s="217"/>
    </row>
    <row r="446" spans="1:8">
      <c r="E446" s="215"/>
      <c r="F446" s="216"/>
      <c r="G446" s="215"/>
      <c r="H446" s="217"/>
    </row>
    <row r="447" spans="1:8">
      <c r="E447" s="215"/>
      <c r="F447" s="216"/>
      <c r="G447" s="215"/>
      <c r="H447" s="217"/>
    </row>
    <row r="448" spans="1:8">
      <c r="E448" s="215"/>
      <c r="F448" s="216"/>
      <c r="G448" s="215"/>
      <c r="H448" s="217"/>
    </row>
    <row r="449" spans="1:8">
      <c r="E449" s="215"/>
      <c r="F449" s="216"/>
      <c r="G449" s="215"/>
      <c r="H449" s="217"/>
    </row>
    <row r="450" spans="1:8">
      <c r="E450" s="215"/>
      <c r="F450" s="216"/>
      <c r="G450" s="215"/>
      <c r="H450" s="217"/>
    </row>
    <row r="451" spans="1:8">
      <c r="E451" s="215"/>
      <c r="F451" s="216"/>
      <c r="G451" s="215"/>
      <c r="H451" s="217"/>
    </row>
    <row r="452" spans="1:8">
      <c r="E452" s="215"/>
      <c r="F452" s="216"/>
      <c r="G452" s="215"/>
      <c r="H452" s="217"/>
    </row>
    <row r="453" spans="1:8">
      <c r="E453" s="215"/>
      <c r="F453" s="216"/>
      <c r="G453" s="215"/>
      <c r="H453" s="217"/>
    </row>
    <row r="454" spans="1:8">
      <c r="E454" s="215"/>
      <c r="F454" s="216"/>
      <c r="G454" s="215"/>
      <c r="H454" s="217"/>
    </row>
    <row r="455" spans="1:8">
      <c r="E455" s="215"/>
      <c r="F455" s="216"/>
      <c r="G455" s="215"/>
      <c r="H455" s="217"/>
    </row>
    <row r="456" spans="1:8">
      <c r="E456" s="215"/>
      <c r="F456" s="216"/>
      <c r="G456" s="215"/>
      <c r="H456" s="217"/>
    </row>
    <row r="457" spans="1:8">
      <c r="D457" s="91" t="s">
        <v>573</v>
      </c>
      <c r="E457" s="215"/>
      <c r="F457" s="216"/>
      <c r="G457" s="215"/>
      <c r="H457" s="217"/>
    </row>
    <row r="461" spans="1:8">
      <c r="A461" s="71"/>
    </row>
    <row r="464" spans="1:8">
      <c r="B464" s="135"/>
    </row>
    <row r="466" spans="1:2">
      <c r="B466" s="135"/>
    </row>
    <row r="470" spans="1:2">
      <c r="B470" s="135"/>
    </row>
    <row r="472" spans="1:2">
      <c r="A472" s="71"/>
    </row>
    <row r="473" spans="1:2">
      <c r="B473" s="94"/>
    </row>
    <row r="474" spans="1:2">
      <c r="B474" s="86"/>
    </row>
    <row r="475" spans="1:2">
      <c r="B475" s="135"/>
    </row>
    <row r="476" spans="1:2">
      <c r="B476" s="94"/>
    </row>
    <row r="477" spans="1:2">
      <c r="B477" s="88"/>
    </row>
    <row r="478" spans="1:2">
      <c r="B478" s="135"/>
    </row>
    <row r="479" spans="1:2">
      <c r="B479" s="88"/>
    </row>
    <row r="480" spans="1:2">
      <c r="A480" s="71"/>
      <c r="B480" s="88"/>
    </row>
    <row r="481" spans="1:2">
      <c r="B481" s="135"/>
    </row>
    <row r="482" spans="1:2">
      <c r="A482" s="89"/>
      <c r="B482" s="86"/>
    </row>
    <row r="483" spans="1:2">
      <c r="A483" s="71"/>
      <c r="B483" s="86"/>
    </row>
    <row r="484" spans="1:2">
      <c r="B484" s="136"/>
    </row>
    <row r="485" spans="1:2">
      <c r="B485" s="136"/>
    </row>
    <row r="486" spans="1:2">
      <c r="B486" s="86"/>
    </row>
    <row r="487" spans="1:2">
      <c r="B487" s="88"/>
    </row>
    <row r="488" spans="1:2">
      <c r="B488" s="86"/>
    </row>
    <row r="489" spans="1:2">
      <c r="B489" s="86"/>
    </row>
    <row r="490" spans="1:2">
      <c r="B490" s="88"/>
    </row>
    <row r="491" spans="1:2">
      <c r="B491" s="86"/>
    </row>
    <row r="492" spans="1:2">
      <c r="B492" s="86"/>
    </row>
    <row r="493" spans="1:2">
      <c r="B493" s="88"/>
    </row>
    <row r="494" spans="1:2">
      <c r="B494" s="88"/>
    </row>
    <row r="495" spans="1:2">
      <c r="B495" s="88"/>
    </row>
    <row r="496" spans="1:2">
      <c r="A496" s="71"/>
      <c r="B496" s="88"/>
    </row>
    <row r="497" spans="1:4">
      <c r="B497" s="135"/>
    </row>
    <row r="498" spans="1:4">
      <c r="B498" s="88"/>
    </row>
    <row r="499" spans="1:4">
      <c r="B499" s="88"/>
    </row>
    <row r="500" spans="1:4">
      <c r="B500" s="88"/>
    </row>
    <row r="501" spans="1:4">
      <c r="B501" s="88"/>
    </row>
    <row r="502" spans="1:4">
      <c r="A502" s="71"/>
      <c r="B502" s="88"/>
    </row>
    <row r="503" spans="1:4">
      <c r="B503" s="86"/>
    </row>
    <row r="504" spans="1:4">
      <c r="B504" s="88"/>
    </row>
    <row r="505" spans="1:4">
      <c r="B505" s="88"/>
    </row>
    <row r="506" spans="1:4">
      <c r="B506" s="88"/>
    </row>
    <row r="507" spans="1:4">
      <c r="A507" s="71"/>
      <c r="B507" s="88"/>
    </row>
    <row r="508" spans="1:4">
      <c r="B508" s="135"/>
    </row>
    <row r="509" spans="1:4">
      <c r="B509" s="88"/>
      <c r="D509" s="91"/>
    </row>
    <row r="510" spans="1:4">
      <c r="B510" s="88"/>
    </row>
    <row r="511" spans="1:4">
      <c r="A511" s="71"/>
      <c r="B511" s="71"/>
    </row>
    <row r="512" spans="1:4">
      <c r="A512" s="91"/>
      <c r="B512" s="62"/>
      <c r="C512" s="92"/>
    </row>
    <row r="513" spans="1:3">
      <c r="B513" s="88"/>
    </row>
    <row r="514" spans="1:3">
      <c r="A514" s="71"/>
      <c r="B514" s="88"/>
    </row>
    <row r="515" spans="1:3">
      <c r="A515" s="91"/>
      <c r="B515" s="55"/>
      <c r="C515" s="92"/>
    </row>
    <row r="516" spans="1:3">
      <c r="B516" s="86"/>
    </row>
    <row r="517" spans="1:3">
      <c r="A517" s="71"/>
      <c r="B517" s="88"/>
    </row>
    <row r="518" spans="1:3">
      <c r="B518" s="88"/>
    </row>
    <row r="519" spans="1:3">
      <c r="A519" s="71"/>
      <c r="B519" s="88"/>
    </row>
    <row r="520" spans="1:3">
      <c r="B520" s="88"/>
    </row>
    <row r="521" spans="1:3">
      <c r="A521" s="89"/>
      <c r="B521" s="88"/>
    </row>
    <row r="522" spans="1:3">
      <c r="A522" s="89"/>
      <c r="B522" s="88"/>
    </row>
    <row r="523" spans="1:3">
      <c r="A523" s="89"/>
      <c r="B523" s="88"/>
    </row>
    <row r="524" spans="1:3">
      <c r="A524" s="89"/>
      <c r="B524" s="88"/>
    </row>
    <row r="525" spans="1:3">
      <c r="A525" s="89"/>
      <c r="B525" s="88"/>
    </row>
    <row r="526" spans="1:3">
      <c r="B526" s="136"/>
    </row>
    <row r="527" spans="1:3">
      <c r="B527" s="88"/>
    </row>
    <row r="528" spans="1:3">
      <c r="A528" s="89"/>
      <c r="B528" s="88"/>
    </row>
    <row r="529" spans="1:2">
      <c r="B529" s="88"/>
    </row>
    <row r="530" spans="1:2">
      <c r="B530" s="88"/>
    </row>
    <row r="531" spans="1:2">
      <c r="B531" s="93"/>
    </row>
    <row r="532" spans="1:2">
      <c r="B532" s="137"/>
    </row>
    <row r="533" spans="1:2">
      <c r="B533" s="88"/>
    </row>
    <row r="534" spans="1:2">
      <c r="B534" s="88"/>
    </row>
    <row r="535" spans="1:2">
      <c r="B535" s="88"/>
    </row>
    <row r="536" spans="1:2">
      <c r="B536" s="88"/>
    </row>
    <row r="537" spans="1:2">
      <c r="B537" s="135"/>
    </row>
    <row r="538" spans="1:2">
      <c r="B538" s="88"/>
    </row>
    <row r="539" spans="1:2">
      <c r="A539" s="89"/>
      <c r="B539" s="88"/>
    </row>
    <row r="540" spans="1:2">
      <c r="B540" s="88"/>
    </row>
    <row r="541" spans="1:2">
      <c r="B541" s="88"/>
    </row>
    <row r="542" spans="1:2">
      <c r="A542" s="89"/>
      <c r="B542" s="88"/>
    </row>
    <row r="543" spans="1:2">
      <c r="B543" s="88"/>
    </row>
    <row r="544" spans="1:2">
      <c r="B544" s="86"/>
    </row>
    <row r="545" spans="1:4">
      <c r="A545" s="91"/>
      <c r="B545" s="138"/>
    </row>
    <row r="550" spans="1:4">
      <c r="D550" s="91"/>
    </row>
  </sheetData>
  <sheetProtection sheet="1" objects="1" scenarios="1" formatCells="0" selectLockedCells="1"/>
  <phoneticPr fontId="3" type="noConversion"/>
  <pageMargins left="0.75" right="0.75" top="1" bottom="1" header="0.5" footer="0.5"/>
  <pageSetup orientation="portrait" horizontalDpi="4294967295" verticalDpi="300" r:id="rId1"/>
  <headerFooter alignWithMargins="0"/>
  <drawing r:id="rId2"/>
</worksheet>
</file>

<file path=xl/worksheets/sheet3.xml><?xml version="1.0" encoding="utf-8"?>
<worksheet xmlns="http://schemas.openxmlformats.org/spreadsheetml/2006/main" xmlns:r="http://schemas.openxmlformats.org/officeDocument/2006/relationships">
  <dimension ref="A1:L201"/>
  <sheetViews>
    <sheetView workbookViewId="0">
      <selection activeCell="F9" sqref="F9"/>
    </sheetView>
  </sheetViews>
  <sheetFormatPr defaultRowHeight="12.75"/>
  <cols>
    <col min="1" max="1" width="40.7109375" style="41" customWidth="1"/>
    <col min="2" max="2" width="26.42578125" style="41" customWidth="1"/>
    <col min="3" max="3" width="11.5703125" style="41" customWidth="1"/>
    <col min="4" max="4" width="10.85546875" style="41" customWidth="1"/>
    <col min="5" max="5" width="11.28515625" style="41" customWidth="1"/>
    <col min="6" max="16384" width="9.140625" style="41"/>
  </cols>
  <sheetData>
    <row r="1" spans="1:12" ht="15.75">
      <c r="A1" s="291" t="s">
        <v>539</v>
      </c>
      <c r="B1" s="87"/>
      <c r="C1" s="87"/>
      <c r="D1" s="87"/>
      <c r="E1" s="242"/>
      <c r="F1" s="242"/>
      <c r="G1" s="242"/>
      <c r="H1" s="242"/>
      <c r="I1" s="242"/>
      <c r="J1" s="242"/>
      <c r="K1" s="242"/>
      <c r="L1" s="242"/>
    </row>
    <row r="2" spans="1:12">
      <c r="A2" s="59" t="s">
        <v>561</v>
      </c>
      <c r="E2" s="242"/>
      <c r="F2" s="242"/>
      <c r="G2" s="242"/>
      <c r="H2" s="242"/>
      <c r="I2" s="242"/>
      <c r="J2" s="242"/>
      <c r="K2" s="242"/>
      <c r="L2" s="242"/>
    </row>
    <row r="3" spans="1:12">
      <c r="A3" s="59"/>
      <c r="E3" s="242"/>
      <c r="F3" s="242"/>
      <c r="G3" s="242"/>
      <c r="H3" s="242"/>
      <c r="I3" s="242"/>
      <c r="J3" s="242"/>
      <c r="K3" s="242"/>
      <c r="L3" s="242"/>
    </row>
    <row r="4" spans="1:12">
      <c r="A4" s="59" t="s">
        <v>703</v>
      </c>
      <c r="E4" s="242"/>
      <c r="F4" s="242"/>
      <c r="G4" s="242"/>
      <c r="H4" s="242"/>
      <c r="I4" s="242"/>
      <c r="J4" s="242"/>
      <c r="K4" s="242"/>
      <c r="L4" s="242"/>
    </row>
    <row r="5" spans="1:12">
      <c r="A5" s="59"/>
      <c r="E5" s="242"/>
      <c r="F5" s="242"/>
      <c r="G5" s="242"/>
      <c r="H5" s="242"/>
      <c r="I5" s="242"/>
      <c r="J5" s="242"/>
      <c r="K5" s="242"/>
      <c r="L5" s="242"/>
    </row>
    <row r="6" spans="1:12">
      <c r="A6" s="59" t="s">
        <v>562</v>
      </c>
      <c r="E6" s="242"/>
      <c r="F6" s="242"/>
      <c r="G6" s="242"/>
      <c r="H6" s="242"/>
      <c r="I6" s="242"/>
      <c r="J6" s="242"/>
      <c r="K6" s="242"/>
      <c r="L6" s="242"/>
    </row>
    <row r="7" spans="1:12">
      <c r="E7" s="242"/>
      <c r="F7" s="242"/>
      <c r="G7" s="242"/>
      <c r="H7" s="242"/>
      <c r="I7" s="242"/>
      <c r="J7" s="242"/>
      <c r="K7" s="242"/>
      <c r="L7" s="242"/>
    </row>
    <row r="8" spans="1:12" ht="13.5" thickBot="1">
      <c r="A8" s="46" t="s">
        <v>556</v>
      </c>
      <c r="B8" s="94" t="s">
        <v>121</v>
      </c>
      <c r="E8" s="242"/>
      <c r="F8" s="242"/>
      <c r="G8" s="242"/>
      <c r="H8" s="242"/>
      <c r="I8" s="242"/>
      <c r="J8" s="276"/>
      <c r="K8" s="228"/>
      <c r="L8" s="242"/>
    </row>
    <row r="9" spans="1:12">
      <c r="A9" s="69" t="s">
        <v>541</v>
      </c>
      <c r="B9" s="235">
        <v>150</v>
      </c>
      <c r="C9" s="41" t="s">
        <v>445</v>
      </c>
      <c r="E9" s="242"/>
      <c r="F9" s="242"/>
      <c r="G9" s="242"/>
      <c r="H9" s="242"/>
      <c r="I9" s="242"/>
      <c r="J9" s="243"/>
      <c r="K9" s="277"/>
      <c r="L9" s="242"/>
    </row>
    <row r="10" spans="1:12">
      <c r="A10" s="69" t="s">
        <v>542</v>
      </c>
      <c r="B10" s="236">
        <v>4000</v>
      </c>
      <c r="C10" s="41" t="s">
        <v>446</v>
      </c>
      <c r="E10" s="242"/>
      <c r="F10" s="242"/>
      <c r="G10" s="242"/>
      <c r="H10" s="242"/>
      <c r="I10" s="242"/>
      <c r="J10" s="243"/>
      <c r="K10" s="277"/>
      <c r="L10" s="242"/>
    </row>
    <row r="11" spans="1:12">
      <c r="A11" s="69" t="s">
        <v>555</v>
      </c>
      <c r="B11" s="236">
        <v>90</v>
      </c>
      <c r="C11" s="41" t="s">
        <v>475</v>
      </c>
      <c r="E11" s="242"/>
      <c r="F11" s="242"/>
      <c r="G11" s="242"/>
      <c r="H11" s="242"/>
      <c r="I11" s="242"/>
      <c r="J11" s="243"/>
      <c r="K11" s="278"/>
      <c r="L11" s="242"/>
    </row>
    <row r="12" spans="1:12" ht="13.5" thickBot="1">
      <c r="A12" s="69" t="s">
        <v>549</v>
      </c>
      <c r="B12" s="293">
        <v>1</v>
      </c>
      <c r="C12" s="41" t="s">
        <v>30</v>
      </c>
      <c r="E12" s="242"/>
      <c r="F12" s="242"/>
      <c r="G12" s="242"/>
      <c r="H12" s="242"/>
      <c r="I12" s="242"/>
      <c r="J12" s="243"/>
      <c r="K12" s="279"/>
      <c r="L12" s="242"/>
    </row>
    <row r="13" spans="1:12">
      <c r="B13" s="84" t="s">
        <v>447</v>
      </c>
      <c r="E13" s="242"/>
      <c r="F13" s="242"/>
      <c r="G13" s="242"/>
      <c r="H13" s="242"/>
      <c r="I13" s="242"/>
      <c r="J13" s="242"/>
      <c r="K13" s="280"/>
      <c r="L13" s="242"/>
    </row>
    <row r="14" spans="1:12">
      <c r="A14" s="54" t="s">
        <v>543</v>
      </c>
      <c r="B14" s="149" t="s">
        <v>550</v>
      </c>
      <c r="C14" s="25" t="s">
        <v>269</v>
      </c>
      <c r="E14" s="242"/>
      <c r="F14" s="242"/>
      <c r="G14" s="242"/>
      <c r="H14" s="242"/>
      <c r="I14" s="242"/>
      <c r="J14" s="244"/>
      <c r="K14" s="281"/>
      <c r="L14" s="282"/>
    </row>
    <row r="15" spans="1:12">
      <c r="A15" s="54" t="s">
        <v>543</v>
      </c>
      <c r="B15" s="150">
        <f>3.142*B12^2 / 4</f>
        <v>0.78549999999999998</v>
      </c>
      <c r="C15" s="25" t="s">
        <v>269</v>
      </c>
      <c r="E15" s="242"/>
      <c r="F15" s="242"/>
      <c r="G15" s="242"/>
      <c r="H15" s="242"/>
      <c r="I15" s="242"/>
      <c r="J15" s="244"/>
      <c r="K15" s="283"/>
      <c r="L15" s="282"/>
    </row>
    <row r="16" spans="1:12">
      <c r="A16" s="54" t="s">
        <v>544</v>
      </c>
      <c r="B16" s="149" t="s">
        <v>553</v>
      </c>
      <c r="C16" s="25" t="s">
        <v>284</v>
      </c>
      <c r="D16" s="59"/>
      <c r="E16" s="242"/>
      <c r="F16" s="242"/>
      <c r="G16" s="242"/>
      <c r="H16" s="242"/>
      <c r="I16" s="242"/>
      <c r="J16" s="244"/>
      <c r="K16" s="281"/>
      <c r="L16" s="282"/>
    </row>
    <row r="17" spans="1:12">
      <c r="A17" s="54" t="s">
        <v>552</v>
      </c>
      <c r="B17" s="150">
        <f>3.142*B12^4 / 64</f>
        <v>4.9093749999999999E-2</v>
      </c>
      <c r="C17" s="25"/>
      <c r="D17" s="59"/>
      <c r="E17" s="242"/>
      <c r="F17" s="242"/>
      <c r="G17" s="242"/>
      <c r="H17" s="242"/>
      <c r="I17" s="242"/>
      <c r="J17" s="244"/>
      <c r="K17" s="283"/>
      <c r="L17" s="282"/>
    </row>
    <row r="18" spans="1:12">
      <c r="A18" s="54" t="s">
        <v>548</v>
      </c>
      <c r="B18" s="149" t="s">
        <v>551</v>
      </c>
      <c r="C18" s="25" t="s">
        <v>284</v>
      </c>
      <c r="D18" s="149"/>
      <c r="E18" s="242"/>
      <c r="F18" s="242"/>
      <c r="G18" s="242"/>
      <c r="H18" s="242"/>
      <c r="I18" s="242"/>
      <c r="J18" s="244"/>
      <c r="K18" s="281"/>
      <c r="L18" s="282"/>
    </row>
    <row r="19" spans="1:12">
      <c r="A19" s="54" t="s">
        <v>554</v>
      </c>
      <c r="B19" s="150">
        <f>3.142*B12^4 / 32</f>
        <v>9.8187499999999997E-2</v>
      </c>
      <c r="C19" s="25" t="s">
        <v>284</v>
      </c>
      <c r="D19" s="150"/>
      <c r="E19" s="242"/>
      <c r="F19" s="242"/>
      <c r="G19" s="242"/>
      <c r="H19" s="242"/>
      <c r="I19" s="242"/>
      <c r="J19" s="244"/>
      <c r="K19" s="283"/>
      <c r="L19" s="282"/>
    </row>
    <row r="20" spans="1:12">
      <c r="A20" s="54" t="s">
        <v>560</v>
      </c>
      <c r="B20" s="151" t="s">
        <v>545</v>
      </c>
      <c r="C20" s="92"/>
      <c r="D20" s="59"/>
      <c r="E20" s="242"/>
      <c r="F20" s="242"/>
      <c r="G20" s="242"/>
      <c r="H20" s="242"/>
      <c r="I20" s="242"/>
      <c r="J20" s="244"/>
      <c r="K20" s="227"/>
      <c r="L20" s="221"/>
    </row>
    <row r="21" spans="1:12">
      <c r="A21" s="54" t="s">
        <v>546</v>
      </c>
      <c r="B21" s="63">
        <f>B9 / B15</f>
        <v>190.96117122851686</v>
      </c>
      <c r="C21" s="115" t="s">
        <v>42</v>
      </c>
      <c r="D21" s="59"/>
      <c r="E21" s="242"/>
      <c r="F21" s="242"/>
      <c r="G21" s="242"/>
      <c r="H21" s="242"/>
      <c r="I21" s="242"/>
      <c r="J21" s="244"/>
      <c r="K21" s="230"/>
      <c r="L21" s="284"/>
    </row>
    <row r="22" spans="1:12">
      <c r="A22" s="116" t="s">
        <v>547</v>
      </c>
      <c r="B22" s="46" t="s">
        <v>557</v>
      </c>
      <c r="C22" s="25"/>
      <c r="E22" s="242"/>
      <c r="F22" s="242"/>
      <c r="G22" s="242"/>
      <c r="H22" s="242"/>
      <c r="I22" s="242"/>
      <c r="J22" s="245"/>
      <c r="K22" s="285"/>
      <c r="L22" s="282"/>
    </row>
    <row r="23" spans="1:12">
      <c r="A23" s="116" t="s">
        <v>558</v>
      </c>
      <c r="B23" s="63">
        <f>B10*B12 / (2*B17)</f>
        <v>40738.383195416936</v>
      </c>
      <c r="C23" s="25" t="s">
        <v>42</v>
      </c>
      <c r="E23" s="242"/>
      <c r="F23" s="242"/>
      <c r="G23" s="242"/>
      <c r="H23" s="242"/>
      <c r="I23" s="242"/>
      <c r="J23" s="245"/>
      <c r="K23" s="230"/>
      <c r="L23" s="282"/>
    </row>
    <row r="24" spans="1:12">
      <c r="A24" s="116" t="s">
        <v>566</v>
      </c>
      <c r="B24" s="46" t="s">
        <v>559</v>
      </c>
      <c r="C24" s="25"/>
      <c r="E24" s="242"/>
      <c r="F24" s="242"/>
      <c r="G24" s="242"/>
      <c r="H24" s="242"/>
      <c r="I24" s="242"/>
      <c r="J24" s="245"/>
      <c r="K24" s="285"/>
      <c r="L24" s="282"/>
    </row>
    <row r="25" spans="1:12">
      <c r="A25" s="116" t="s">
        <v>511</v>
      </c>
      <c r="B25" s="63">
        <f>B11*B12 / (2*B19)</f>
        <v>458.3068109484405</v>
      </c>
      <c r="C25" s="25" t="s">
        <v>42</v>
      </c>
      <c r="E25" s="242"/>
      <c r="F25" s="242"/>
      <c r="G25" s="242"/>
      <c r="H25" s="242"/>
      <c r="I25" s="242"/>
      <c r="J25" s="245"/>
      <c r="K25" s="230"/>
      <c r="L25" s="282"/>
    </row>
    <row r="26" spans="1:12">
      <c r="E26" s="242"/>
      <c r="F26" s="242"/>
      <c r="G26" s="242"/>
      <c r="H26" s="242"/>
      <c r="I26" s="242"/>
      <c r="J26" s="242"/>
      <c r="K26" s="242"/>
      <c r="L26" s="242"/>
    </row>
    <row r="27" spans="1:12">
      <c r="A27" s="46" t="s">
        <v>567</v>
      </c>
      <c r="E27" s="242"/>
      <c r="F27" s="242"/>
      <c r="G27" s="242"/>
      <c r="H27" s="242"/>
      <c r="I27" s="242"/>
      <c r="J27" s="242"/>
      <c r="K27" s="242"/>
      <c r="L27" s="242"/>
    </row>
    <row r="28" spans="1:12" ht="13.5" thickBot="1">
      <c r="B28" s="84" t="s">
        <v>121</v>
      </c>
      <c r="E28" s="242"/>
      <c r="F28" s="242"/>
      <c r="G28" s="242"/>
      <c r="H28" s="242"/>
      <c r="I28" s="242"/>
      <c r="J28" s="242"/>
      <c r="K28" s="242"/>
      <c r="L28" s="242"/>
    </row>
    <row r="29" spans="1:12" ht="13.5" thickBot="1">
      <c r="A29" s="69" t="s">
        <v>512</v>
      </c>
      <c r="B29" s="208">
        <v>36000</v>
      </c>
      <c r="C29" s="41" t="s">
        <v>42</v>
      </c>
      <c r="E29" s="242"/>
      <c r="F29" s="242"/>
      <c r="G29" s="242"/>
      <c r="H29" s="242"/>
      <c r="I29" s="242"/>
      <c r="J29" s="242"/>
      <c r="K29" s="242"/>
      <c r="L29" s="242"/>
    </row>
    <row r="30" spans="1:12">
      <c r="B30" s="84" t="s">
        <v>447</v>
      </c>
      <c r="E30" s="242"/>
      <c r="F30" s="242"/>
      <c r="G30" s="242"/>
      <c r="H30" s="242"/>
      <c r="I30" s="242"/>
      <c r="J30" s="242"/>
      <c r="K30" s="242"/>
      <c r="L30" s="242"/>
    </row>
    <row r="31" spans="1:12">
      <c r="A31" s="54" t="s">
        <v>568</v>
      </c>
      <c r="B31" s="63">
        <f>B21+B23</f>
        <v>40929.344366645455</v>
      </c>
      <c r="C31" s="25" t="s">
        <v>42</v>
      </c>
      <c r="E31" s="242"/>
      <c r="F31" s="242"/>
      <c r="G31" s="242"/>
      <c r="H31" s="242"/>
      <c r="I31" s="242"/>
      <c r="J31" s="242"/>
      <c r="K31" s="242"/>
      <c r="L31" s="242"/>
    </row>
    <row r="32" spans="1:12">
      <c r="A32" s="54" t="s">
        <v>564</v>
      </c>
      <c r="B32" s="63">
        <v>0</v>
      </c>
      <c r="C32" s="25" t="s">
        <v>42</v>
      </c>
      <c r="E32" s="242"/>
      <c r="F32" s="242"/>
      <c r="G32" s="242"/>
      <c r="H32" s="242"/>
      <c r="I32" s="242"/>
      <c r="J32" s="242"/>
      <c r="K32" s="242"/>
      <c r="L32" s="242"/>
    </row>
    <row r="33" spans="1:12">
      <c r="A33" s="54" t="s">
        <v>565</v>
      </c>
      <c r="B33" s="63">
        <f>B25</f>
        <v>458.3068109484405</v>
      </c>
      <c r="C33" s="25" t="s">
        <v>42</v>
      </c>
      <c r="E33" s="242"/>
      <c r="F33" s="242"/>
      <c r="G33" s="242"/>
      <c r="H33" s="242"/>
      <c r="I33" s="242"/>
      <c r="J33" s="242"/>
      <c r="K33" s="242"/>
      <c r="L33" s="242"/>
    </row>
    <row r="34" spans="1:12">
      <c r="A34" s="54" t="s">
        <v>230</v>
      </c>
      <c r="B34" s="46" t="s">
        <v>227</v>
      </c>
      <c r="E34" s="242"/>
      <c r="F34" s="242"/>
      <c r="G34" s="242"/>
      <c r="H34" s="242"/>
      <c r="I34" s="242"/>
      <c r="J34" s="242"/>
      <c r="K34" s="242"/>
      <c r="L34" s="242"/>
    </row>
    <row r="35" spans="1:12">
      <c r="A35" s="54" t="s">
        <v>413</v>
      </c>
      <c r="B35" s="63">
        <f>((B31^2+B32^2-B31*B32+3*B33^2)^0.5)</f>
        <v>40937.041486682174</v>
      </c>
      <c r="C35" s="25" t="s">
        <v>42</v>
      </c>
      <c r="E35" s="242"/>
      <c r="F35" s="242"/>
      <c r="G35" s="242"/>
      <c r="H35" s="242"/>
      <c r="I35" s="242"/>
      <c r="J35" s="242"/>
      <c r="K35" s="242"/>
      <c r="L35" s="242"/>
    </row>
    <row r="36" spans="1:12">
      <c r="A36" s="54" t="s">
        <v>232</v>
      </c>
      <c r="B36" s="46" t="s">
        <v>416</v>
      </c>
      <c r="E36" s="242"/>
      <c r="F36" s="242"/>
      <c r="G36" s="242"/>
      <c r="H36" s="242"/>
      <c r="I36" s="242"/>
      <c r="J36" s="242"/>
      <c r="K36" s="242"/>
      <c r="L36" s="242"/>
    </row>
    <row r="37" spans="1:12">
      <c r="A37" s="54" t="s">
        <v>105</v>
      </c>
      <c r="B37" s="64">
        <f>B29 / B35</f>
        <v>0.87939916253380657</v>
      </c>
      <c r="E37" s="242"/>
      <c r="F37" s="242"/>
      <c r="G37" s="242"/>
      <c r="H37" s="242"/>
      <c r="I37" s="242"/>
      <c r="J37" s="242"/>
      <c r="K37" s="242"/>
      <c r="L37" s="242"/>
    </row>
    <row r="38" spans="1:12" ht="13.5" thickBot="1">
      <c r="E38" s="242"/>
      <c r="F38" s="242"/>
      <c r="G38" s="242"/>
      <c r="H38" s="242"/>
      <c r="I38" s="242"/>
      <c r="J38" s="242"/>
      <c r="K38" s="242"/>
      <c r="L38" s="242"/>
    </row>
    <row r="39" spans="1:12" ht="13.5" thickBot="1">
      <c r="A39" s="71" t="s">
        <v>537</v>
      </c>
      <c r="B39" s="91" t="s">
        <v>113</v>
      </c>
      <c r="C39" s="126" t="s">
        <v>21</v>
      </c>
      <c r="D39" s="126" t="s">
        <v>22</v>
      </c>
      <c r="E39" s="242"/>
      <c r="F39" s="242"/>
      <c r="G39" s="242"/>
      <c r="H39" s="242"/>
      <c r="I39" s="242"/>
      <c r="J39" s="242"/>
      <c r="K39" s="242"/>
      <c r="L39" s="242"/>
    </row>
    <row r="40" spans="1:12">
      <c r="A40" s="25" t="s">
        <v>538</v>
      </c>
      <c r="B40" s="98">
        <v>6</v>
      </c>
      <c r="C40" s="152">
        <v>0.87868000000000002</v>
      </c>
      <c r="D40" s="152">
        <v>-0.33243</v>
      </c>
      <c r="E40" s="242"/>
      <c r="F40" s="242"/>
      <c r="G40" s="242"/>
      <c r="H40" s="242"/>
      <c r="I40" s="242"/>
      <c r="J40" s="242"/>
      <c r="K40" s="242"/>
      <c r="L40" s="242"/>
    </row>
    <row r="41" spans="1:12">
      <c r="B41" s="98">
        <v>3</v>
      </c>
      <c r="C41" s="152">
        <v>0.89334000000000002</v>
      </c>
      <c r="D41" s="152">
        <v>-0.30859999999999999</v>
      </c>
      <c r="E41" s="242"/>
      <c r="F41" s="242"/>
      <c r="G41" s="242"/>
      <c r="H41" s="242"/>
      <c r="I41" s="242"/>
      <c r="J41" s="242"/>
      <c r="K41" s="242"/>
      <c r="L41" s="242"/>
    </row>
    <row r="42" spans="1:12">
      <c r="B42" s="98">
        <v>2</v>
      </c>
      <c r="C42" s="152">
        <v>0.90878999999999999</v>
      </c>
      <c r="D42" s="152">
        <v>-0.28598000000000001</v>
      </c>
      <c r="E42" s="242"/>
      <c r="F42" s="242"/>
      <c r="G42" s="242"/>
      <c r="H42" s="242"/>
      <c r="I42" s="242"/>
      <c r="J42" s="242"/>
      <c r="K42" s="242"/>
      <c r="L42" s="242"/>
    </row>
    <row r="43" spans="1:12">
      <c r="B43" s="98">
        <v>1.5</v>
      </c>
      <c r="C43" s="152">
        <v>0.93835999999999997</v>
      </c>
      <c r="D43" s="152">
        <v>-0.25758999999999999</v>
      </c>
      <c r="E43" s="242"/>
      <c r="F43" s="242"/>
      <c r="G43" s="242"/>
      <c r="H43" s="242"/>
      <c r="I43" s="242"/>
      <c r="J43" s="242"/>
      <c r="K43" s="242"/>
      <c r="L43" s="242"/>
    </row>
    <row r="44" spans="1:12">
      <c r="B44" s="98">
        <v>1.2</v>
      </c>
      <c r="C44" s="152">
        <v>0.97097999999999995</v>
      </c>
      <c r="D44" s="152">
        <v>-0.21795999999999999</v>
      </c>
      <c r="E44" s="242"/>
      <c r="F44" s="242"/>
      <c r="G44" s="242"/>
      <c r="H44" s="242"/>
      <c r="I44" s="242"/>
      <c r="J44" s="242"/>
      <c r="K44" s="242"/>
      <c r="L44" s="242"/>
    </row>
    <row r="45" spans="1:12">
      <c r="B45" s="98">
        <v>1.1000000000000001</v>
      </c>
      <c r="C45" s="152">
        <v>0.95120000000000005</v>
      </c>
      <c r="D45" s="152">
        <v>-0.23757</v>
      </c>
      <c r="E45" s="242"/>
      <c r="F45" s="242"/>
      <c r="G45" s="242"/>
      <c r="H45" s="242"/>
      <c r="I45" s="242"/>
      <c r="J45" s="242"/>
      <c r="K45" s="242"/>
      <c r="L45" s="242"/>
    </row>
    <row r="46" spans="1:12">
      <c r="B46" s="98">
        <v>1.07</v>
      </c>
      <c r="C46" s="152">
        <v>0.97526999999999997</v>
      </c>
      <c r="D46" s="152">
        <v>-0.20957999999999999</v>
      </c>
      <c r="E46" s="242"/>
      <c r="F46" s="242"/>
      <c r="G46" s="242"/>
      <c r="H46" s="242"/>
      <c r="I46" s="242"/>
      <c r="J46" s="242"/>
      <c r="K46" s="242"/>
      <c r="L46" s="242"/>
    </row>
    <row r="47" spans="1:12">
      <c r="B47" s="98">
        <v>1.05</v>
      </c>
      <c r="C47" s="152">
        <v>0.98136999999999996</v>
      </c>
      <c r="D47" s="152">
        <v>-0.19653000000000001</v>
      </c>
      <c r="E47" s="242"/>
      <c r="F47" s="242"/>
      <c r="G47" s="242"/>
      <c r="H47" s="242"/>
      <c r="I47" s="242"/>
      <c r="J47" s="242"/>
      <c r="K47" s="242"/>
      <c r="L47" s="242"/>
    </row>
    <row r="48" spans="1:12">
      <c r="B48" s="98">
        <v>1.03</v>
      </c>
      <c r="C48" s="152">
        <v>0.98060999999999998</v>
      </c>
      <c r="D48" s="152">
        <v>-0.18381</v>
      </c>
      <c r="E48" s="242"/>
      <c r="F48" s="242"/>
      <c r="G48" s="242"/>
      <c r="H48" s="242"/>
      <c r="I48" s="242"/>
      <c r="J48" s="242"/>
      <c r="K48" s="242"/>
      <c r="L48" s="242"/>
    </row>
    <row r="49" spans="1:12">
      <c r="B49" s="98">
        <v>1.02</v>
      </c>
      <c r="C49" s="152">
        <v>0.96048</v>
      </c>
      <c r="D49" s="152">
        <v>-0.17710999999999999</v>
      </c>
      <c r="E49" s="242"/>
      <c r="F49" s="242"/>
      <c r="G49" s="242"/>
      <c r="H49" s="242"/>
      <c r="I49" s="242"/>
      <c r="J49" s="242"/>
      <c r="K49" s="242"/>
      <c r="L49" s="242"/>
    </row>
    <row r="50" spans="1:12" ht="13.5" thickBot="1">
      <c r="B50" s="98">
        <v>1.01</v>
      </c>
      <c r="C50" s="118">
        <v>0.91937999999999998</v>
      </c>
      <c r="D50" s="118">
        <v>-0.17032</v>
      </c>
      <c r="E50" s="242"/>
      <c r="F50" s="242"/>
      <c r="G50" s="242"/>
      <c r="H50" s="242"/>
      <c r="I50" s="242"/>
      <c r="J50" s="242"/>
      <c r="K50" s="242"/>
      <c r="L50" s="242"/>
    </row>
    <row r="51" spans="1:12">
      <c r="D51" s="54" t="s">
        <v>0</v>
      </c>
      <c r="E51" s="242"/>
      <c r="F51" s="242"/>
      <c r="G51" s="242"/>
      <c r="H51" s="242"/>
      <c r="I51" s="242"/>
      <c r="J51" s="242"/>
      <c r="K51" s="242"/>
      <c r="L51" s="242"/>
    </row>
    <row r="52" spans="1:12">
      <c r="D52" s="87"/>
      <c r="E52" s="242"/>
      <c r="F52" s="242"/>
      <c r="G52" s="242"/>
      <c r="H52" s="242"/>
      <c r="I52" s="242"/>
      <c r="J52" s="242"/>
      <c r="K52" s="242"/>
      <c r="L52" s="242"/>
    </row>
    <row r="53" spans="1:12">
      <c r="A53" s="71" t="s">
        <v>635</v>
      </c>
      <c r="B53" s="87"/>
      <c r="C53" s="87"/>
      <c r="D53" s="87"/>
      <c r="E53" s="242"/>
      <c r="F53" s="242"/>
      <c r="G53" s="242"/>
      <c r="H53" s="242"/>
      <c r="I53" s="242"/>
      <c r="J53" s="242"/>
      <c r="K53" s="242"/>
      <c r="L53" s="242"/>
    </row>
    <row r="54" spans="1:12" ht="13.5" thickBot="1">
      <c r="A54" s="90"/>
      <c r="B54" s="94" t="s">
        <v>121</v>
      </c>
      <c r="C54" s="99"/>
      <c r="D54" s="87"/>
      <c r="E54" s="242"/>
      <c r="F54" s="242"/>
      <c r="G54" s="242"/>
      <c r="H54" s="242"/>
      <c r="I54" s="242"/>
      <c r="J54" s="242"/>
      <c r="K54" s="242"/>
      <c r="L54" s="242"/>
    </row>
    <row r="55" spans="1:12">
      <c r="A55" s="100" t="s">
        <v>118</v>
      </c>
      <c r="B55" s="237">
        <v>3.375</v>
      </c>
      <c r="C55" s="87" t="s">
        <v>30</v>
      </c>
      <c r="D55" s="87"/>
      <c r="E55" s="242"/>
      <c r="F55" s="242"/>
      <c r="G55" s="242"/>
      <c r="H55" s="242"/>
      <c r="I55" s="242"/>
      <c r="J55" s="242"/>
      <c r="K55" s="242"/>
      <c r="L55" s="242"/>
    </row>
    <row r="56" spans="1:12">
      <c r="A56" s="100" t="s">
        <v>117</v>
      </c>
      <c r="B56" s="238">
        <v>2.25</v>
      </c>
      <c r="C56" s="87" t="s">
        <v>30</v>
      </c>
      <c r="D56" s="87"/>
      <c r="E56" s="242"/>
      <c r="F56" s="242"/>
      <c r="G56" s="242"/>
      <c r="H56" s="242"/>
      <c r="I56" s="242"/>
      <c r="J56" s="242"/>
      <c r="K56" s="242"/>
      <c r="L56" s="242"/>
    </row>
    <row r="57" spans="1:12" ht="13.5" thickBot="1">
      <c r="A57" s="90" t="s">
        <v>116</v>
      </c>
      <c r="B57" s="239">
        <v>0.125</v>
      </c>
      <c r="C57" s="87" t="s">
        <v>30</v>
      </c>
      <c r="D57" s="87"/>
      <c r="E57" s="242"/>
      <c r="F57" s="242"/>
      <c r="G57" s="242"/>
      <c r="H57" s="242"/>
      <c r="I57" s="242"/>
      <c r="J57" s="242"/>
      <c r="K57" s="242"/>
      <c r="L57" s="242"/>
    </row>
    <row r="58" spans="1:12">
      <c r="A58" s="90"/>
      <c r="B58" s="117" t="s">
        <v>481</v>
      </c>
      <c r="C58" s="87"/>
      <c r="D58" s="87"/>
      <c r="E58" s="242"/>
      <c r="F58" s="242"/>
      <c r="G58" s="242"/>
      <c r="H58" s="242"/>
      <c r="I58" s="242"/>
      <c r="J58" s="242"/>
      <c r="K58" s="242"/>
      <c r="L58" s="242"/>
    </row>
    <row r="59" spans="1:12">
      <c r="A59" s="91" t="s">
        <v>119</v>
      </c>
      <c r="B59" s="62">
        <f>B55/B56</f>
        <v>1.5</v>
      </c>
      <c r="C59" s="87"/>
      <c r="D59" s="87"/>
      <c r="E59" s="242"/>
      <c r="F59" s="242"/>
      <c r="G59" s="242"/>
      <c r="H59" s="242"/>
      <c r="I59" s="242"/>
      <c r="J59" s="242"/>
      <c r="K59" s="242"/>
      <c r="L59" s="242"/>
    </row>
    <row r="60" spans="1:12" ht="13.5" thickBot="1">
      <c r="A60" s="90"/>
      <c r="B60" s="94" t="s">
        <v>636</v>
      </c>
      <c r="C60" s="87"/>
      <c r="D60" s="87"/>
      <c r="E60" s="242"/>
      <c r="F60" s="242"/>
      <c r="G60" s="242"/>
      <c r="H60" s="242"/>
      <c r="I60" s="242"/>
      <c r="J60" s="242"/>
      <c r="K60" s="242"/>
      <c r="L60" s="242"/>
    </row>
    <row r="61" spans="1:12">
      <c r="A61" s="90" t="s">
        <v>637</v>
      </c>
      <c r="B61" s="240">
        <v>0.93835999999999997</v>
      </c>
      <c r="C61" s="87" t="s">
        <v>563</v>
      </c>
      <c r="D61" s="87"/>
      <c r="E61" s="242"/>
      <c r="F61" s="242"/>
      <c r="G61" s="242"/>
      <c r="H61" s="242"/>
      <c r="I61" s="242"/>
      <c r="J61" s="242"/>
      <c r="K61" s="242"/>
      <c r="L61" s="242"/>
    </row>
    <row r="62" spans="1:12" ht="13.5" thickBot="1">
      <c r="A62" s="90" t="s">
        <v>638</v>
      </c>
      <c r="B62" s="241">
        <v>-0.25758999999999999</v>
      </c>
      <c r="C62" s="87" t="s">
        <v>563</v>
      </c>
      <c r="E62" s="242"/>
      <c r="F62" s="242"/>
      <c r="G62" s="242"/>
      <c r="H62" s="242"/>
      <c r="I62" s="242"/>
      <c r="J62" s="242"/>
      <c r="K62" s="242"/>
      <c r="L62" s="242"/>
    </row>
    <row r="63" spans="1:12">
      <c r="A63" s="90"/>
      <c r="B63" s="117" t="s">
        <v>481</v>
      </c>
      <c r="C63" s="87"/>
      <c r="D63" s="87"/>
      <c r="E63" s="242"/>
      <c r="F63" s="242"/>
      <c r="G63" s="242"/>
      <c r="H63" s="242"/>
      <c r="I63" s="242"/>
      <c r="J63" s="242"/>
      <c r="K63" s="242"/>
      <c r="L63" s="242"/>
    </row>
    <row r="64" spans="1:12">
      <c r="A64" s="101" t="s">
        <v>114</v>
      </c>
      <c r="B64" s="112" t="s">
        <v>115</v>
      </c>
      <c r="C64" s="87"/>
      <c r="D64" s="87"/>
      <c r="E64" s="242"/>
      <c r="F64" s="242"/>
      <c r="G64" s="242"/>
      <c r="H64" s="242"/>
      <c r="I64" s="242"/>
      <c r="J64" s="242"/>
      <c r="K64" s="242"/>
      <c r="L64" s="242"/>
    </row>
    <row r="65" spans="1:12">
      <c r="A65" s="101" t="s">
        <v>120</v>
      </c>
      <c r="B65" s="62">
        <f>B61 *(B57/ B56)^B62</f>
        <v>1.9756733023130062</v>
      </c>
      <c r="C65" s="87" t="s">
        <v>563</v>
      </c>
      <c r="D65" s="87"/>
      <c r="E65" s="242"/>
      <c r="F65" s="242"/>
      <c r="G65" s="242"/>
      <c r="H65" s="242"/>
      <c r="I65" s="242"/>
      <c r="J65" s="242"/>
      <c r="K65" s="242"/>
      <c r="L65" s="242"/>
    </row>
    <row r="66" spans="1:12">
      <c r="A66" s="71" t="s">
        <v>429</v>
      </c>
      <c r="D66" s="87"/>
      <c r="E66" s="242"/>
      <c r="F66" s="242"/>
      <c r="G66" s="242"/>
      <c r="H66" s="242"/>
      <c r="I66" s="242"/>
      <c r="J66" s="242"/>
      <c r="K66" s="242"/>
      <c r="L66" s="242"/>
    </row>
    <row r="67" spans="1:12" ht="13.5" thickBot="1">
      <c r="B67" s="94" t="s">
        <v>121</v>
      </c>
      <c r="D67" s="87"/>
      <c r="E67" s="242"/>
      <c r="F67" s="242"/>
      <c r="G67" s="242"/>
      <c r="H67" s="242"/>
      <c r="I67" s="242"/>
      <c r="J67" s="242"/>
      <c r="K67" s="242"/>
      <c r="L67" s="242"/>
    </row>
    <row r="68" spans="1:12">
      <c r="A68" s="69" t="s">
        <v>704</v>
      </c>
      <c r="B68" s="235">
        <v>24000</v>
      </c>
      <c r="C68" s="41" t="s">
        <v>42</v>
      </c>
      <c r="D68" s="87"/>
      <c r="E68" s="242"/>
      <c r="F68" s="242"/>
      <c r="G68" s="242"/>
      <c r="H68" s="242"/>
      <c r="I68" s="242"/>
      <c r="J68" s="242"/>
      <c r="K68" s="242"/>
      <c r="L68" s="242"/>
    </row>
    <row r="69" spans="1:12" ht="13.5" thickBot="1">
      <c r="A69" s="100" t="s">
        <v>617</v>
      </c>
      <c r="B69" s="213">
        <v>1.98</v>
      </c>
      <c r="C69" s="41" t="s">
        <v>563</v>
      </c>
      <c r="D69" s="87"/>
      <c r="E69" s="242"/>
      <c r="F69" s="242"/>
      <c r="G69" s="242"/>
      <c r="H69" s="242"/>
      <c r="I69" s="242"/>
      <c r="J69" s="242"/>
      <c r="K69" s="242"/>
      <c r="L69" s="242"/>
    </row>
    <row r="70" spans="1:12">
      <c r="B70" s="117" t="s">
        <v>481</v>
      </c>
      <c r="D70" s="87"/>
      <c r="E70" s="242"/>
      <c r="F70" s="242"/>
      <c r="G70" s="242"/>
      <c r="H70" s="242"/>
      <c r="I70" s="242"/>
      <c r="J70" s="242"/>
      <c r="K70" s="242"/>
      <c r="L70" s="242"/>
    </row>
    <row r="71" spans="1:12">
      <c r="A71" s="54" t="s">
        <v>618</v>
      </c>
      <c r="B71" s="25" t="s">
        <v>619</v>
      </c>
      <c r="C71" s="92"/>
      <c r="D71" s="87"/>
      <c r="E71" s="242"/>
      <c r="F71" s="242"/>
      <c r="G71" s="242"/>
      <c r="H71" s="242"/>
      <c r="I71" s="242"/>
      <c r="J71" s="242"/>
      <c r="K71" s="242"/>
      <c r="L71" s="242"/>
    </row>
    <row r="72" spans="1:12">
      <c r="A72" s="54" t="s">
        <v>235</v>
      </c>
      <c r="B72" s="46">
        <f>B69*B68</f>
        <v>47520</v>
      </c>
      <c r="C72" s="25" t="s">
        <v>42</v>
      </c>
      <c r="D72" s="91"/>
      <c r="E72" s="242"/>
      <c r="F72" s="242"/>
      <c r="G72" s="242"/>
      <c r="H72" s="242"/>
      <c r="I72" s="242"/>
      <c r="J72" s="242"/>
      <c r="K72" s="242"/>
      <c r="L72" s="242"/>
    </row>
    <row r="73" spans="1:12">
      <c r="B73" s="87"/>
      <c r="C73" s="87"/>
      <c r="D73" s="87"/>
      <c r="E73" s="242"/>
      <c r="F73" s="242"/>
      <c r="G73" s="242"/>
      <c r="H73" s="242"/>
      <c r="I73" s="242"/>
      <c r="J73" s="242"/>
      <c r="K73" s="242"/>
      <c r="L73" s="242"/>
    </row>
    <row r="74" spans="1:12">
      <c r="A74" s="71" t="s">
        <v>540</v>
      </c>
      <c r="C74" s="87"/>
      <c r="D74" s="87"/>
      <c r="E74" s="242"/>
      <c r="F74" s="242"/>
      <c r="G74" s="242"/>
      <c r="H74" s="242"/>
      <c r="I74" s="242"/>
      <c r="J74" s="242"/>
      <c r="K74" s="242"/>
      <c r="L74" s="242"/>
    </row>
    <row r="75" spans="1:12">
      <c r="C75" s="87"/>
      <c r="E75" s="242"/>
      <c r="F75" s="242"/>
      <c r="G75" s="242"/>
      <c r="H75" s="242"/>
      <c r="I75" s="242"/>
      <c r="J75" s="242"/>
      <c r="K75" s="242"/>
      <c r="L75" s="242"/>
    </row>
    <row r="76" spans="1:12">
      <c r="B76" s="87"/>
      <c r="C76" s="87"/>
      <c r="D76" s="87"/>
      <c r="E76" s="242"/>
      <c r="F76" s="242"/>
      <c r="G76" s="242"/>
      <c r="H76" s="242"/>
      <c r="I76" s="242"/>
      <c r="J76" s="242"/>
      <c r="K76" s="242"/>
      <c r="L76" s="242"/>
    </row>
    <row r="77" spans="1:12">
      <c r="A77" s="142"/>
      <c r="B77" s="141"/>
      <c r="C77" s="140"/>
      <c r="E77" s="242"/>
      <c r="F77" s="242"/>
      <c r="G77" s="242"/>
      <c r="H77" s="242"/>
      <c r="I77" s="242"/>
      <c r="J77" s="242"/>
      <c r="K77" s="242"/>
      <c r="L77" s="242"/>
    </row>
    <row r="78" spans="1:12">
      <c r="A78" s="142"/>
      <c r="B78" s="143"/>
      <c r="C78" s="140"/>
      <c r="D78" s="87"/>
      <c r="E78" s="242"/>
      <c r="F78" s="242"/>
      <c r="G78" s="242"/>
      <c r="H78" s="242"/>
      <c r="I78" s="242"/>
      <c r="J78" s="242"/>
      <c r="K78" s="242"/>
      <c r="L78" s="242"/>
    </row>
    <row r="79" spans="1:12">
      <c r="A79" s="142"/>
      <c r="B79" s="155"/>
      <c r="C79" s="140"/>
      <c r="D79" s="87"/>
      <c r="E79" s="242"/>
      <c r="F79" s="242"/>
      <c r="G79" s="242"/>
      <c r="H79" s="242"/>
      <c r="I79" s="242"/>
      <c r="J79" s="242"/>
      <c r="K79" s="242"/>
      <c r="L79" s="242"/>
    </row>
    <row r="80" spans="1:12">
      <c r="A80" s="142"/>
      <c r="E80" s="242"/>
      <c r="F80" s="242"/>
      <c r="G80" s="242"/>
      <c r="H80" s="242"/>
      <c r="I80" s="242"/>
      <c r="J80" s="242"/>
      <c r="K80" s="242"/>
      <c r="L80" s="242"/>
    </row>
    <row r="81" spans="1:12">
      <c r="A81" s="142"/>
      <c r="E81" s="242"/>
      <c r="F81" s="242"/>
      <c r="G81" s="242"/>
      <c r="H81" s="242"/>
      <c r="I81" s="242"/>
      <c r="J81" s="242"/>
      <c r="K81" s="242"/>
      <c r="L81" s="242"/>
    </row>
    <row r="82" spans="1:12">
      <c r="E82" s="242"/>
      <c r="F82" s="242"/>
      <c r="G82" s="242"/>
      <c r="H82" s="242"/>
      <c r="I82" s="242"/>
      <c r="J82" s="242"/>
      <c r="K82" s="242"/>
      <c r="L82" s="242"/>
    </row>
    <row r="83" spans="1:12">
      <c r="E83" s="242"/>
      <c r="F83" s="242"/>
      <c r="G83" s="242"/>
      <c r="H83" s="242"/>
      <c r="I83" s="242"/>
      <c r="J83" s="242"/>
      <c r="K83" s="242"/>
      <c r="L83" s="242"/>
    </row>
    <row r="84" spans="1:12">
      <c r="E84" s="242"/>
      <c r="F84" s="242"/>
      <c r="G84" s="242"/>
      <c r="H84" s="242"/>
      <c r="I84" s="242"/>
      <c r="J84" s="242"/>
      <c r="K84" s="242"/>
      <c r="L84" s="242"/>
    </row>
    <row r="85" spans="1:12">
      <c r="E85" s="242"/>
      <c r="F85" s="242"/>
      <c r="G85" s="242"/>
      <c r="H85" s="242"/>
      <c r="I85" s="242"/>
      <c r="J85" s="242"/>
      <c r="K85" s="242"/>
      <c r="L85" s="242"/>
    </row>
    <row r="86" spans="1:12">
      <c r="E86" s="242"/>
      <c r="F86" s="242"/>
      <c r="G86" s="231"/>
      <c r="H86" s="242"/>
      <c r="I86" s="242"/>
      <c r="J86" s="242"/>
      <c r="K86" s="242"/>
      <c r="L86" s="242"/>
    </row>
    <row r="87" spans="1:12">
      <c r="A87" s="90"/>
      <c r="E87" s="242"/>
      <c r="F87" s="242"/>
      <c r="G87" s="234"/>
      <c r="H87" s="215"/>
      <c r="I87" s="242"/>
      <c r="J87" s="242"/>
      <c r="K87" s="242"/>
      <c r="L87" s="242"/>
    </row>
    <row r="88" spans="1:12">
      <c r="A88" s="90"/>
      <c r="E88" s="242"/>
      <c r="F88" s="242"/>
      <c r="G88" s="218"/>
      <c r="H88" s="215"/>
      <c r="I88" s="242"/>
      <c r="J88" s="242"/>
      <c r="K88" s="242"/>
      <c r="L88" s="242"/>
    </row>
    <row r="89" spans="1:12">
      <c r="A89" s="90"/>
      <c r="E89" s="242"/>
      <c r="F89" s="242"/>
      <c r="G89" s="218"/>
      <c r="H89" s="215"/>
      <c r="I89" s="242"/>
      <c r="J89" s="242"/>
      <c r="K89" s="242"/>
      <c r="L89" s="242"/>
    </row>
    <row r="90" spans="1:12">
      <c r="A90" s="90"/>
      <c r="E90" s="242"/>
      <c r="F90" s="242"/>
      <c r="G90" s="218"/>
      <c r="H90" s="234"/>
      <c r="I90" s="242"/>
      <c r="J90" s="242"/>
      <c r="K90" s="242"/>
      <c r="L90" s="242"/>
    </row>
    <row r="91" spans="1:12">
      <c r="A91" s="90"/>
      <c r="B91" s="87"/>
      <c r="C91" s="87"/>
      <c r="D91" s="87"/>
      <c r="E91" s="242"/>
      <c r="F91" s="242"/>
      <c r="G91" s="218"/>
      <c r="H91" s="215"/>
      <c r="I91" s="242"/>
      <c r="J91" s="242"/>
      <c r="K91" s="242"/>
      <c r="L91" s="242"/>
    </row>
    <row r="92" spans="1:12" ht="13.5" thickBot="1">
      <c r="A92" s="90"/>
      <c r="B92" s="87"/>
      <c r="C92" s="87"/>
      <c r="D92" s="87"/>
      <c r="E92" s="242"/>
      <c r="F92" s="242"/>
      <c r="G92" s="242"/>
      <c r="H92" s="242"/>
      <c r="I92" s="242"/>
      <c r="J92" s="242"/>
      <c r="K92" s="242"/>
      <c r="L92" s="242"/>
    </row>
    <row r="93" spans="1:12">
      <c r="A93" s="71" t="s">
        <v>54</v>
      </c>
      <c r="B93" s="140"/>
      <c r="C93" s="122" t="s">
        <v>622</v>
      </c>
      <c r="D93" s="159" t="s">
        <v>623</v>
      </c>
      <c r="E93" s="242"/>
      <c r="F93" s="242"/>
      <c r="G93" s="242"/>
      <c r="H93" s="242"/>
      <c r="I93" s="242"/>
      <c r="J93" s="242"/>
      <c r="K93" s="242"/>
      <c r="L93" s="242"/>
    </row>
    <row r="94" spans="1:12" ht="13.5" thickBot="1">
      <c r="A94" s="90"/>
      <c r="B94" s="91" t="s">
        <v>651</v>
      </c>
      <c r="C94" s="132" t="s">
        <v>620</v>
      </c>
      <c r="D94" s="160" t="s">
        <v>620</v>
      </c>
      <c r="E94" s="242"/>
      <c r="F94" s="242"/>
      <c r="G94" s="242"/>
      <c r="H94" s="242"/>
      <c r="I94" s="242"/>
      <c r="J94" s="242"/>
      <c r="K94" s="242"/>
      <c r="L94" s="242"/>
    </row>
    <row r="95" spans="1:12">
      <c r="B95" s="98">
        <v>0.3</v>
      </c>
      <c r="C95" s="157">
        <v>1.41</v>
      </c>
      <c r="D95" s="157">
        <v>1.35</v>
      </c>
      <c r="E95" s="242"/>
      <c r="F95" s="242"/>
      <c r="G95" s="242"/>
      <c r="H95" s="242"/>
      <c r="I95" s="242"/>
      <c r="J95" s="242"/>
      <c r="K95" s="242"/>
      <c r="L95" s="242"/>
    </row>
    <row r="96" spans="1:12">
      <c r="A96" s="69"/>
      <c r="B96" s="98">
        <v>0.25</v>
      </c>
      <c r="C96" s="157">
        <v>1.48</v>
      </c>
      <c r="D96" s="157">
        <v>1.4</v>
      </c>
      <c r="E96" s="242"/>
      <c r="F96" s="242"/>
      <c r="G96" s="242"/>
      <c r="H96" s="242"/>
      <c r="I96" s="242"/>
      <c r="J96" s="242"/>
      <c r="K96" s="242"/>
      <c r="L96" s="242"/>
    </row>
    <row r="97" spans="1:12">
      <c r="A97" s="69"/>
      <c r="B97" s="98">
        <v>0.2</v>
      </c>
      <c r="C97" s="157">
        <v>1.58</v>
      </c>
      <c r="D97" s="157">
        <v>1.46</v>
      </c>
      <c r="E97" s="242"/>
      <c r="F97" s="242"/>
      <c r="G97" s="242"/>
      <c r="H97" s="242"/>
      <c r="I97" s="242"/>
      <c r="J97" s="242"/>
      <c r="K97" s="242"/>
      <c r="L97" s="242"/>
    </row>
    <row r="98" spans="1:12">
      <c r="B98" s="100">
        <v>0.15</v>
      </c>
      <c r="C98" s="157">
        <v>1.73</v>
      </c>
      <c r="D98" s="157">
        <v>1.52</v>
      </c>
      <c r="E98" s="242"/>
      <c r="F98" s="242"/>
      <c r="G98" s="242"/>
      <c r="H98" s="242"/>
      <c r="I98" s="242"/>
      <c r="J98" s="242"/>
      <c r="K98" s="242"/>
      <c r="L98" s="242"/>
    </row>
    <row r="99" spans="1:12">
      <c r="B99" s="100">
        <v>0.1</v>
      </c>
      <c r="C99" s="157">
        <v>2.5</v>
      </c>
      <c r="D99" s="157">
        <v>1.5</v>
      </c>
      <c r="E99" s="242"/>
      <c r="F99" s="242"/>
      <c r="G99" s="242"/>
      <c r="H99" s="242"/>
      <c r="I99" s="242"/>
      <c r="J99" s="242"/>
      <c r="K99" s="242"/>
      <c r="L99" s="242"/>
    </row>
    <row r="100" spans="1:12" ht="13.5" thickBot="1">
      <c r="A100" s="98"/>
      <c r="B100" s="98">
        <v>0.05</v>
      </c>
      <c r="C100" s="158">
        <v>2.68</v>
      </c>
      <c r="D100" s="158">
        <v>2.0699999999999998</v>
      </c>
      <c r="E100" s="242"/>
      <c r="F100" s="242"/>
      <c r="G100" s="242"/>
      <c r="H100" s="242"/>
      <c r="I100" s="242"/>
      <c r="J100" s="242"/>
      <c r="K100" s="242"/>
      <c r="L100" s="242"/>
    </row>
    <row r="101" spans="1:12">
      <c r="A101" s="90"/>
      <c r="E101" s="242"/>
      <c r="F101" s="242"/>
      <c r="G101" s="242"/>
      <c r="H101" s="242"/>
      <c r="I101" s="242"/>
      <c r="J101" s="242"/>
      <c r="K101" s="242"/>
      <c r="L101" s="242"/>
    </row>
    <row r="102" spans="1:12">
      <c r="D102" s="54" t="s">
        <v>1</v>
      </c>
      <c r="E102" s="242"/>
      <c r="F102" s="242"/>
      <c r="G102" s="242"/>
      <c r="H102" s="242"/>
      <c r="I102" s="242"/>
      <c r="J102" s="242"/>
      <c r="K102" s="242"/>
      <c r="L102" s="242"/>
    </row>
    <row r="103" spans="1:12">
      <c r="A103" s="71" t="s">
        <v>429</v>
      </c>
      <c r="D103" s="87"/>
      <c r="E103" s="246"/>
      <c r="F103" s="247"/>
      <c r="G103" s="248"/>
      <c r="H103" s="248"/>
      <c r="I103" s="242"/>
      <c r="J103" s="242"/>
      <c r="K103" s="242"/>
      <c r="L103" s="242"/>
    </row>
    <row r="104" spans="1:12" ht="13.5" thickBot="1">
      <c r="B104" s="94" t="s">
        <v>121</v>
      </c>
      <c r="E104" s="249"/>
      <c r="F104" s="220"/>
      <c r="G104" s="248"/>
      <c r="H104" s="248"/>
      <c r="I104" s="242"/>
      <c r="J104" s="242"/>
      <c r="K104" s="242"/>
      <c r="L104" s="242"/>
    </row>
    <row r="105" spans="1:12">
      <c r="A105" s="69" t="s">
        <v>116</v>
      </c>
      <c r="B105" s="204">
        <v>0.125</v>
      </c>
      <c r="E105" s="250"/>
      <c r="F105" s="251"/>
      <c r="G105" s="252"/>
      <c r="H105" s="252"/>
      <c r="I105" s="242"/>
      <c r="J105" s="242"/>
      <c r="K105" s="242"/>
      <c r="L105" s="242"/>
    </row>
    <row r="106" spans="1:12">
      <c r="A106" s="69" t="s">
        <v>621</v>
      </c>
      <c r="B106" s="206">
        <v>1.25</v>
      </c>
      <c r="C106" s="41" t="s">
        <v>563</v>
      </c>
      <c r="D106" s="153"/>
      <c r="E106" s="250"/>
      <c r="F106" s="251" t="s">
        <v>54</v>
      </c>
      <c r="G106" s="252"/>
      <c r="H106" s="252"/>
      <c r="I106" s="242"/>
      <c r="J106" s="242"/>
      <c r="K106" s="242"/>
      <c r="L106" s="242"/>
    </row>
    <row r="107" spans="1:12" ht="13.5" thickBot="1">
      <c r="A107" s="69" t="s">
        <v>648</v>
      </c>
      <c r="B107" s="205">
        <v>1.5</v>
      </c>
      <c r="C107" s="41" t="s">
        <v>563</v>
      </c>
      <c r="D107" s="154"/>
      <c r="E107" s="250"/>
      <c r="F107" s="251"/>
      <c r="G107" s="252"/>
      <c r="H107" s="252"/>
      <c r="I107" s="242"/>
      <c r="J107" s="242"/>
      <c r="K107" s="242"/>
      <c r="L107" s="242"/>
    </row>
    <row r="108" spans="1:12">
      <c r="B108" s="117" t="s">
        <v>481</v>
      </c>
      <c r="D108" s="154"/>
      <c r="E108" s="253"/>
      <c r="F108" s="254"/>
      <c r="G108" s="252"/>
      <c r="H108" s="252"/>
      <c r="I108" s="242"/>
      <c r="J108" s="242"/>
      <c r="K108" s="242"/>
      <c r="L108" s="242"/>
    </row>
    <row r="109" spans="1:12">
      <c r="A109" s="54" t="s">
        <v>292</v>
      </c>
      <c r="B109" s="64">
        <f>B105/B106</f>
        <v>0.1</v>
      </c>
      <c r="C109" s="25" t="s">
        <v>563</v>
      </c>
      <c r="D109" s="154"/>
      <c r="E109" s="253"/>
      <c r="F109" s="254"/>
      <c r="G109" s="252"/>
      <c r="H109" s="252"/>
      <c r="I109" s="242"/>
      <c r="J109" s="242"/>
      <c r="K109" s="242"/>
      <c r="L109" s="242"/>
    </row>
    <row r="110" spans="1:12">
      <c r="A110" s="54" t="s">
        <v>119</v>
      </c>
      <c r="B110" s="144">
        <f>B107/B106</f>
        <v>1.2</v>
      </c>
      <c r="D110" s="99"/>
      <c r="E110" s="250"/>
      <c r="F110" s="251"/>
      <c r="G110" s="252"/>
      <c r="H110" s="252"/>
      <c r="I110" s="242"/>
      <c r="J110" s="242"/>
      <c r="K110" s="242"/>
      <c r="L110" s="242"/>
    </row>
    <row r="111" spans="1:12" ht="13.5" thickBot="1">
      <c r="A111" s="69"/>
      <c r="B111" s="94" t="s">
        <v>121</v>
      </c>
      <c r="D111" s="99"/>
      <c r="E111" s="250"/>
      <c r="F111" s="255"/>
      <c r="G111" s="255"/>
      <c r="H111" s="256"/>
      <c r="I111" s="242"/>
      <c r="J111" s="242"/>
      <c r="K111" s="242"/>
      <c r="L111" s="242"/>
    </row>
    <row r="112" spans="1:12">
      <c r="A112" s="69" t="s">
        <v>704</v>
      </c>
      <c r="B112" s="235">
        <v>30720</v>
      </c>
      <c r="C112" s="41" t="s">
        <v>42</v>
      </c>
      <c r="D112" s="99"/>
      <c r="E112" s="256"/>
      <c r="F112" s="256"/>
      <c r="G112" s="256"/>
      <c r="H112" s="256"/>
      <c r="I112" s="242"/>
      <c r="J112" s="242"/>
      <c r="K112" s="242"/>
      <c r="L112" s="242"/>
    </row>
    <row r="113" spans="1:12" ht="13.5" thickBot="1">
      <c r="A113" s="100" t="s">
        <v>649</v>
      </c>
      <c r="B113" s="213">
        <v>1.5</v>
      </c>
      <c r="D113" s="99"/>
      <c r="E113" s="257"/>
      <c r="F113" s="247"/>
      <c r="G113" s="247"/>
      <c r="H113" s="256"/>
      <c r="I113" s="242"/>
      <c r="J113" s="242"/>
      <c r="K113" s="242"/>
      <c r="L113" s="242"/>
    </row>
    <row r="114" spans="1:12">
      <c r="B114" s="117" t="s">
        <v>481</v>
      </c>
      <c r="D114" s="99"/>
      <c r="E114" s="258"/>
      <c r="F114" s="259"/>
      <c r="G114" s="248"/>
      <c r="H114" s="248"/>
      <c r="I114" s="242"/>
      <c r="J114" s="242"/>
      <c r="K114" s="242"/>
      <c r="L114" s="242"/>
    </row>
    <row r="115" spans="1:12">
      <c r="A115" s="54" t="s">
        <v>624</v>
      </c>
      <c r="B115" s="25" t="s">
        <v>619</v>
      </c>
      <c r="C115" s="92"/>
      <c r="D115" s="87"/>
      <c r="E115" s="258"/>
      <c r="F115" s="260"/>
      <c r="G115" s="255"/>
      <c r="H115" s="261"/>
      <c r="I115" s="242"/>
      <c r="J115" s="242"/>
      <c r="K115" s="242"/>
      <c r="L115" s="242"/>
    </row>
    <row r="116" spans="1:12">
      <c r="A116" s="54" t="s">
        <v>235</v>
      </c>
      <c r="B116" s="46">
        <f>B113*B112</f>
        <v>46080</v>
      </c>
      <c r="C116" s="25" t="s">
        <v>42</v>
      </c>
      <c r="D116" s="87"/>
      <c r="E116" s="258"/>
      <c r="F116" s="260"/>
      <c r="G116" s="255"/>
      <c r="H116" s="261"/>
      <c r="I116" s="242"/>
      <c r="J116" s="242"/>
      <c r="K116" s="242"/>
      <c r="L116" s="242"/>
    </row>
    <row r="117" spans="1:12">
      <c r="D117" s="87"/>
      <c r="E117" s="256"/>
      <c r="F117" s="256"/>
      <c r="G117" s="256"/>
      <c r="H117" s="256"/>
      <c r="I117" s="242"/>
      <c r="J117" s="242"/>
      <c r="K117" s="242"/>
      <c r="L117" s="242"/>
    </row>
    <row r="118" spans="1:12">
      <c r="C118" s="87"/>
      <c r="D118" s="87"/>
      <c r="E118" s="242"/>
      <c r="F118" s="242"/>
      <c r="G118" s="242"/>
      <c r="H118" s="242"/>
      <c r="I118" s="242"/>
      <c r="J118" s="242"/>
      <c r="K118" s="242"/>
      <c r="L118" s="242"/>
    </row>
    <row r="119" spans="1:12">
      <c r="A119" s="71" t="s">
        <v>650</v>
      </c>
      <c r="D119" s="87"/>
      <c r="E119" s="242"/>
      <c r="F119" s="242"/>
      <c r="G119" s="242"/>
      <c r="H119" s="242"/>
      <c r="I119" s="242"/>
      <c r="J119" s="242"/>
      <c r="K119" s="242"/>
      <c r="L119" s="242"/>
    </row>
    <row r="120" spans="1:12">
      <c r="E120" s="242"/>
      <c r="F120" s="242"/>
      <c r="G120" s="242"/>
      <c r="H120" s="242"/>
      <c r="I120" s="242"/>
      <c r="J120" s="242"/>
      <c r="K120" s="242"/>
      <c r="L120" s="242"/>
    </row>
    <row r="121" spans="1:12">
      <c r="A121" s="89" t="s">
        <v>652</v>
      </c>
      <c r="B121" s="87"/>
      <c r="E121" s="242"/>
      <c r="F121" s="242"/>
      <c r="G121" s="242"/>
      <c r="H121" s="242"/>
      <c r="I121" s="242"/>
      <c r="J121" s="242"/>
      <c r="K121" s="242"/>
      <c r="L121" s="242"/>
    </row>
    <row r="122" spans="1:12">
      <c r="A122" s="90" t="s">
        <v>124</v>
      </c>
      <c r="B122" s="87" t="s">
        <v>125</v>
      </c>
      <c r="E122" s="242"/>
      <c r="F122" s="242"/>
      <c r="G122" s="242"/>
      <c r="H122" s="242"/>
      <c r="I122" s="242"/>
      <c r="J122" s="242"/>
      <c r="K122" s="242"/>
      <c r="L122" s="242"/>
    </row>
    <row r="123" spans="1:12">
      <c r="A123" s="90" t="s">
        <v>126</v>
      </c>
      <c r="B123" s="87" t="s">
        <v>127</v>
      </c>
      <c r="E123" s="242"/>
      <c r="F123" s="242"/>
      <c r="G123" s="242"/>
      <c r="H123" s="242"/>
      <c r="I123" s="242"/>
      <c r="J123" s="242"/>
      <c r="K123" s="242"/>
      <c r="L123" s="242"/>
    </row>
    <row r="124" spans="1:12">
      <c r="A124" s="90" t="s">
        <v>131</v>
      </c>
      <c r="B124" s="89" t="s">
        <v>128</v>
      </c>
      <c r="E124" s="242"/>
      <c r="F124" s="242"/>
      <c r="G124" s="242"/>
      <c r="H124" s="242"/>
      <c r="I124" s="242"/>
      <c r="J124" s="242"/>
      <c r="K124" s="242"/>
      <c r="L124" s="242"/>
    </row>
    <row r="125" spans="1:12">
      <c r="A125" s="90" t="s">
        <v>129</v>
      </c>
      <c r="B125" s="87" t="s">
        <v>130</v>
      </c>
      <c r="C125" s="87"/>
      <c r="D125" s="87"/>
      <c r="E125" s="242"/>
      <c r="F125" s="242"/>
      <c r="G125" s="242"/>
      <c r="H125" s="242"/>
      <c r="I125" s="242"/>
      <c r="J125" s="242"/>
      <c r="K125" s="242"/>
      <c r="L125" s="242"/>
    </row>
    <row r="126" spans="1:12" ht="13.5" thickBot="1">
      <c r="C126" s="87"/>
      <c r="D126" s="87"/>
      <c r="E126" s="242"/>
      <c r="F126" s="242"/>
      <c r="G126" s="242"/>
      <c r="H126" s="242"/>
      <c r="I126" s="242"/>
      <c r="J126" s="242"/>
      <c r="K126" s="242"/>
      <c r="L126" s="242"/>
    </row>
    <row r="127" spans="1:12" ht="13.5" thickBot="1">
      <c r="A127" s="64" t="s">
        <v>569</v>
      </c>
      <c r="C127" s="125" t="s">
        <v>136</v>
      </c>
      <c r="D127" s="126" t="s">
        <v>135</v>
      </c>
      <c r="E127" s="242"/>
      <c r="F127" s="242"/>
      <c r="G127" s="242"/>
      <c r="H127" s="242"/>
      <c r="I127" s="242"/>
      <c r="J127" s="242"/>
      <c r="K127" s="242"/>
      <c r="L127" s="242"/>
    </row>
    <row r="128" spans="1:12">
      <c r="C128" s="119">
        <v>50</v>
      </c>
      <c r="D128" s="123">
        <v>0.13</v>
      </c>
      <c r="E128" s="242"/>
      <c r="F128" s="242"/>
      <c r="G128" s="242"/>
      <c r="H128" s="242"/>
      <c r="I128" s="242"/>
      <c r="J128" s="242"/>
      <c r="K128" s="242"/>
      <c r="L128" s="242"/>
    </row>
    <row r="129" spans="1:12">
      <c r="C129" s="119">
        <v>55</v>
      </c>
      <c r="D129" s="123">
        <v>0.11799999999999999</v>
      </c>
      <c r="E129" s="242"/>
      <c r="F129" s="242"/>
      <c r="G129" s="242"/>
      <c r="H129" s="242"/>
      <c r="I129" s="242"/>
      <c r="J129" s="242"/>
      <c r="K129" s="242"/>
      <c r="L129" s="242"/>
    </row>
    <row r="130" spans="1:12">
      <c r="A130" s="41" t="s">
        <v>625</v>
      </c>
      <c r="C130" s="119">
        <v>60</v>
      </c>
      <c r="D130" s="123">
        <v>0.108</v>
      </c>
      <c r="E130" s="242"/>
      <c r="F130" s="242"/>
      <c r="G130" s="242"/>
      <c r="H130" s="242"/>
      <c r="I130" s="242"/>
      <c r="J130" s="242"/>
      <c r="K130" s="242"/>
      <c r="L130" s="242"/>
    </row>
    <row r="131" spans="1:12">
      <c r="A131" s="41" t="s">
        <v>626</v>
      </c>
      <c r="C131" s="119">
        <v>70</v>
      </c>
      <c r="D131" s="123">
        <v>9.2999999999999999E-2</v>
      </c>
      <c r="E131" s="242"/>
      <c r="F131" s="242"/>
      <c r="G131" s="242"/>
      <c r="H131" s="242"/>
      <c r="I131" s="242"/>
      <c r="J131" s="242"/>
      <c r="K131" s="242"/>
      <c r="L131" s="242"/>
    </row>
    <row r="132" spans="1:12">
      <c r="C132" s="119">
        <v>80</v>
      </c>
      <c r="D132" s="123">
        <v>0.08</v>
      </c>
      <c r="E132" s="242"/>
      <c r="F132" s="242"/>
      <c r="G132" s="242"/>
      <c r="H132" s="242"/>
      <c r="I132" s="242"/>
      <c r="J132" s="242"/>
      <c r="K132" s="242"/>
      <c r="L132" s="242"/>
    </row>
    <row r="133" spans="1:12" ht="13.5" thickBot="1">
      <c r="A133" s="90"/>
      <c r="B133" s="94" t="s">
        <v>121</v>
      </c>
      <c r="C133" s="119">
        <v>90</v>
      </c>
      <c r="D133" s="123">
        <v>7.0000000000000007E-2</v>
      </c>
      <c r="E133" s="242"/>
      <c r="F133" s="242"/>
      <c r="G133" s="242"/>
      <c r="H133" s="242"/>
      <c r="I133" s="242"/>
      <c r="J133" s="242"/>
      <c r="K133" s="242"/>
      <c r="L133" s="242"/>
    </row>
    <row r="134" spans="1:12">
      <c r="A134" s="90" t="s">
        <v>616</v>
      </c>
      <c r="B134" s="210">
        <v>80</v>
      </c>
      <c r="C134" s="161">
        <v>100</v>
      </c>
      <c r="D134" s="123">
        <v>6.2E-2</v>
      </c>
      <c r="E134" s="242"/>
      <c r="F134" s="242"/>
      <c r="G134" s="242"/>
      <c r="H134" s="242"/>
      <c r="I134" s="242"/>
      <c r="J134" s="242"/>
      <c r="K134" s="242"/>
      <c r="L134" s="242"/>
    </row>
    <row r="135" spans="1:12">
      <c r="A135" s="90" t="s">
        <v>640</v>
      </c>
      <c r="B135" s="206">
        <v>0.08</v>
      </c>
      <c r="C135" s="162">
        <v>110</v>
      </c>
      <c r="D135" s="123">
        <v>5.5E-2</v>
      </c>
      <c r="E135" s="242"/>
      <c r="F135" s="242"/>
      <c r="G135" s="242"/>
      <c r="H135" s="242"/>
      <c r="I135" s="242"/>
      <c r="J135" s="242"/>
      <c r="K135" s="242"/>
      <c r="L135" s="242"/>
    </row>
    <row r="136" spans="1:12">
      <c r="A136" s="90" t="s">
        <v>639</v>
      </c>
      <c r="B136" s="206">
        <v>0.125</v>
      </c>
      <c r="C136" s="161">
        <v>120</v>
      </c>
      <c r="D136" s="123">
        <v>4.9000000000000002E-2</v>
      </c>
      <c r="E136" s="242"/>
      <c r="F136" s="242"/>
      <c r="G136" s="242"/>
      <c r="H136" s="242"/>
      <c r="I136" s="242"/>
      <c r="J136" s="242"/>
      <c r="K136" s="242"/>
      <c r="L136" s="242"/>
    </row>
    <row r="137" spans="1:12" ht="13.5" thickBot="1">
      <c r="A137" s="90" t="s">
        <v>653</v>
      </c>
      <c r="B137" s="205">
        <f>B113</f>
        <v>1.5</v>
      </c>
      <c r="C137" s="161">
        <v>130</v>
      </c>
      <c r="D137" s="123">
        <v>4.3999999999999997E-2</v>
      </c>
      <c r="E137" s="242"/>
      <c r="F137" s="242"/>
      <c r="G137" s="242"/>
      <c r="H137" s="242"/>
      <c r="I137" s="242"/>
      <c r="J137" s="242"/>
      <c r="K137" s="242"/>
      <c r="L137" s="242"/>
    </row>
    <row r="138" spans="1:12">
      <c r="B138" s="84" t="s">
        <v>447</v>
      </c>
      <c r="C138" s="119">
        <v>140</v>
      </c>
      <c r="D138" s="123">
        <v>3.9E-2</v>
      </c>
      <c r="E138" s="242"/>
      <c r="F138" s="242"/>
      <c r="G138" s="242"/>
      <c r="H138" s="242"/>
      <c r="I138" s="242"/>
      <c r="J138" s="242"/>
      <c r="K138" s="242"/>
      <c r="L138" s="242"/>
    </row>
    <row r="139" spans="1:12">
      <c r="A139" s="91" t="s">
        <v>124</v>
      </c>
      <c r="B139" s="71" t="s">
        <v>127</v>
      </c>
      <c r="C139" s="119">
        <v>160</v>
      </c>
      <c r="D139" s="123">
        <v>3.1E-2</v>
      </c>
      <c r="E139" s="242"/>
      <c r="F139" s="242"/>
      <c r="G139" s="242"/>
      <c r="H139" s="242"/>
      <c r="I139" s="242"/>
      <c r="J139" s="242"/>
      <c r="K139" s="242"/>
      <c r="L139" s="242"/>
    </row>
    <row r="140" spans="1:12">
      <c r="A140" s="91" t="s">
        <v>134</v>
      </c>
      <c r="B140" s="71">
        <f>1 / (1 +B135 / B136^0.5)</f>
        <v>0.81547832000453702</v>
      </c>
      <c r="C140" s="119">
        <v>180</v>
      </c>
      <c r="D140" s="123">
        <v>2.4E-2</v>
      </c>
      <c r="E140" s="242"/>
      <c r="F140" s="242"/>
      <c r="G140" s="242"/>
      <c r="H140" s="242"/>
      <c r="I140" s="242"/>
      <c r="J140" s="242"/>
      <c r="K140" s="242"/>
      <c r="L140" s="242"/>
    </row>
    <row r="141" spans="1:12">
      <c r="C141" s="119">
        <v>200</v>
      </c>
      <c r="D141" s="123">
        <v>1.7999999999999999E-2</v>
      </c>
      <c r="E141" s="242"/>
      <c r="F141" s="242"/>
      <c r="G141" s="242"/>
      <c r="H141" s="242"/>
      <c r="I141" s="242"/>
      <c r="J141" s="242"/>
      <c r="K141" s="242"/>
      <c r="L141" s="242"/>
    </row>
    <row r="142" spans="1:12">
      <c r="A142" s="101" t="s">
        <v>137</v>
      </c>
      <c r="B142" s="71" t="s">
        <v>138</v>
      </c>
      <c r="C142" s="120">
        <v>220</v>
      </c>
      <c r="D142" s="123">
        <v>1.2999999999999999E-2</v>
      </c>
      <c r="E142" s="242"/>
      <c r="F142" s="242"/>
      <c r="G142" s="242"/>
      <c r="H142" s="242"/>
      <c r="I142" s="242"/>
      <c r="J142" s="242"/>
      <c r="K142" s="242"/>
      <c r="L142" s="242"/>
    </row>
    <row r="143" spans="1:12" ht="13.5" thickBot="1">
      <c r="A143" s="101" t="s">
        <v>139</v>
      </c>
      <c r="B143" s="71">
        <f>1 + B140 * (B137 - 1)</f>
        <v>1.4077391600022686</v>
      </c>
      <c r="C143" s="121">
        <v>240</v>
      </c>
      <c r="D143" s="124">
        <v>8.9999999999999993E-3</v>
      </c>
      <c r="E143" s="242"/>
      <c r="F143" s="242"/>
      <c r="G143" s="242"/>
      <c r="H143" s="242"/>
      <c r="I143" s="242"/>
      <c r="J143" s="242"/>
      <c r="K143" s="242"/>
      <c r="L143" s="242"/>
    </row>
    <row r="144" spans="1:12">
      <c r="A144" s="90"/>
      <c r="B144" s="87"/>
      <c r="E144" s="242"/>
      <c r="F144" s="242"/>
      <c r="G144" s="242"/>
      <c r="H144" s="242"/>
      <c r="I144" s="242"/>
      <c r="J144" s="242"/>
      <c r="K144" s="242"/>
      <c r="L144" s="242"/>
    </row>
    <row r="145" spans="1:12">
      <c r="A145" s="90"/>
      <c r="B145" s="87"/>
      <c r="E145" s="242"/>
      <c r="F145" s="242"/>
      <c r="G145" s="242"/>
      <c r="H145" s="242"/>
      <c r="I145" s="242"/>
      <c r="J145" s="242"/>
      <c r="K145" s="242"/>
      <c r="L145" s="242"/>
    </row>
    <row r="146" spans="1:12">
      <c r="A146" s="71" t="s">
        <v>630</v>
      </c>
      <c r="E146" s="242"/>
      <c r="F146" s="242"/>
      <c r="G146" s="242"/>
      <c r="H146" s="242"/>
      <c r="I146" s="242"/>
      <c r="J146" s="242"/>
      <c r="K146" s="242"/>
      <c r="L146" s="242"/>
    </row>
    <row r="147" spans="1:12" ht="13.5" thickBot="1">
      <c r="B147" s="94" t="s">
        <v>121</v>
      </c>
      <c r="E147" s="242"/>
      <c r="F147" s="242"/>
      <c r="G147" s="242"/>
      <c r="H147" s="242"/>
      <c r="I147" s="242"/>
      <c r="J147" s="242"/>
      <c r="K147" s="242"/>
      <c r="L147" s="242"/>
    </row>
    <row r="148" spans="1:12" ht="15">
      <c r="A148" s="69" t="s">
        <v>628</v>
      </c>
      <c r="B148" s="235">
        <v>1000</v>
      </c>
      <c r="C148" s="41" t="s">
        <v>445</v>
      </c>
      <c r="E148" s="242"/>
      <c r="F148" s="242"/>
      <c r="G148" s="242"/>
      <c r="H148" s="242"/>
      <c r="I148" s="242"/>
      <c r="J148" s="242"/>
      <c r="K148" s="192"/>
      <c r="L148" s="242"/>
    </row>
    <row r="149" spans="1:12" ht="15">
      <c r="A149" s="69" t="s">
        <v>667</v>
      </c>
      <c r="B149" s="206">
        <v>4.125</v>
      </c>
      <c r="C149" s="41" t="s">
        <v>269</v>
      </c>
      <c r="E149" s="242"/>
      <c r="F149" s="242"/>
      <c r="G149" s="242"/>
      <c r="H149" s="242"/>
      <c r="I149" s="242"/>
      <c r="J149" s="242"/>
      <c r="K149" s="192"/>
      <c r="L149" s="242"/>
    </row>
    <row r="150" spans="1:12" ht="15">
      <c r="A150" s="69" t="s">
        <v>641</v>
      </c>
      <c r="B150" s="236">
        <v>6000</v>
      </c>
      <c r="C150" s="41" t="s">
        <v>446</v>
      </c>
      <c r="E150" s="242"/>
      <c r="F150" s="242"/>
      <c r="G150" s="242"/>
      <c r="H150" s="242"/>
      <c r="I150" s="242"/>
      <c r="J150" s="242"/>
      <c r="K150" s="192"/>
      <c r="L150" s="242"/>
    </row>
    <row r="151" spans="1:12" ht="15">
      <c r="A151" s="69" t="s">
        <v>668</v>
      </c>
      <c r="B151" s="206">
        <v>2.6</v>
      </c>
      <c r="C151" s="41" t="s">
        <v>284</v>
      </c>
      <c r="E151" s="242"/>
      <c r="F151" s="242"/>
      <c r="G151" s="242"/>
      <c r="H151" s="242"/>
      <c r="I151" s="242"/>
      <c r="J151" s="242"/>
      <c r="K151" s="192"/>
      <c r="L151" s="242"/>
    </row>
    <row r="152" spans="1:12" ht="15.75" thickBot="1">
      <c r="A152" s="69" t="s">
        <v>642</v>
      </c>
      <c r="B152" s="205">
        <v>1.375</v>
      </c>
      <c r="C152" s="41" t="s">
        <v>30</v>
      </c>
      <c r="D152" s="54" t="s">
        <v>2</v>
      </c>
      <c r="E152" s="242"/>
      <c r="F152" s="242"/>
      <c r="G152" s="242"/>
      <c r="H152" s="242"/>
      <c r="I152" s="242"/>
      <c r="J152" s="242"/>
      <c r="K152" s="192"/>
      <c r="L152" s="242"/>
    </row>
    <row r="153" spans="1:12" ht="15">
      <c r="B153" s="84" t="s">
        <v>447</v>
      </c>
      <c r="E153" s="242"/>
      <c r="F153" s="242"/>
      <c r="G153" s="242"/>
      <c r="H153" s="242"/>
      <c r="I153" s="242"/>
      <c r="J153" s="242"/>
      <c r="K153" s="192"/>
      <c r="L153" s="242"/>
    </row>
    <row r="154" spans="1:12" ht="15">
      <c r="A154" s="91" t="s">
        <v>627</v>
      </c>
      <c r="B154" s="92" t="s">
        <v>629</v>
      </c>
      <c r="C154" s="25"/>
      <c r="E154" s="242"/>
      <c r="F154" s="242"/>
      <c r="G154" s="242"/>
      <c r="H154" s="242"/>
      <c r="I154" s="242"/>
      <c r="J154" s="242"/>
      <c r="K154" s="192"/>
      <c r="L154" s="242"/>
    </row>
    <row r="155" spans="1:12" ht="15">
      <c r="A155" s="91" t="s">
        <v>627</v>
      </c>
      <c r="B155" s="63">
        <f>B148/B149 + B150*B152/ B151</f>
        <v>3415.5011655011654</v>
      </c>
      <c r="C155" s="25" t="s">
        <v>42</v>
      </c>
      <c r="E155" s="242"/>
      <c r="F155" s="242"/>
      <c r="G155" s="242"/>
      <c r="H155" s="242"/>
      <c r="I155" s="242"/>
      <c r="J155" s="242"/>
      <c r="K155" s="192"/>
      <c r="L155" s="242"/>
    </row>
    <row r="156" spans="1:12" ht="15">
      <c r="E156" s="242"/>
      <c r="F156" s="242"/>
      <c r="G156" s="242"/>
      <c r="H156" s="242"/>
      <c r="I156" s="242"/>
      <c r="J156" s="242"/>
      <c r="K156" s="192"/>
      <c r="L156" s="242"/>
    </row>
    <row r="157" spans="1:12" ht="15">
      <c r="A157" s="91" t="s">
        <v>632</v>
      </c>
      <c r="B157" s="92" t="s">
        <v>140</v>
      </c>
      <c r="E157" s="242"/>
      <c r="F157" s="242"/>
      <c r="G157" s="242"/>
      <c r="H157" s="242"/>
      <c r="I157" s="242"/>
      <c r="J157" s="242"/>
      <c r="K157" s="192"/>
      <c r="L157" s="242"/>
    </row>
    <row r="158" spans="1:12">
      <c r="A158" s="91" t="s">
        <v>633</v>
      </c>
      <c r="B158" s="71">
        <f>B143</f>
        <v>1.4077391600022686</v>
      </c>
      <c r="C158" s="41" t="s">
        <v>563</v>
      </c>
      <c r="E158" s="242"/>
      <c r="F158" s="242"/>
      <c r="G158" s="242"/>
      <c r="H158" s="242"/>
      <c r="I158" s="242"/>
      <c r="J158" s="242"/>
      <c r="K158" s="242"/>
      <c r="L158" s="242"/>
    </row>
    <row r="159" spans="1:12">
      <c r="A159" s="91" t="s">
        <v>631</v>
      </c>
      <c r="B159" s="63">
        <f>B158 * B155</f>
        <v>4808.1347417093803</v>
      </c>
      <c r="C159" s="25" t="s">
        <v>42</v>
      </c>
      <c r="E159" s="242"/>
      <c r="F159" s="242"/>
      <c r="G159" s="242"/>
      <c r="H159" s="242"/>
      <c r="I159" s="242"/>
      <c r="J159" s="242"/>
      <c r="K159" s="242"/>
      <c r="L159" s="242"/>
    </row>
    <row r="160" spans="1:12">
      <c r="A160" s="90"/>
      <c r="B160" s="87"/>
      <c r="E160" s="242"/>
      <c r="F160" s="242"/>
      <c r="G160" s="242"/>
      <c r="H160" s="242"/>
      <c r="I160" s="242"/>
      <c r="J160" s="242"/>
      <c r="K160" s="242"/>
      <c r="L160" s="242"/>
    </row>
    <row r="161" spans="1:12" ht="13.5" thickBot="1">
      <c r="A161" s="71" t="s">
        <v>658</v>
      </c>
      <c r="B161" s="94" t="s">
        <v>121</v>
      </c>
      <c r="E161" s="242"/>
      <c r="F161" s="242"/>
      <c r="G161" s="242"/>
      <c r="H161" s="242"/>
      <c r="I161" s="242"/>
      <c r="J161" s="242"/>
      <c r="K161" s="242"/>
      <c r="L161" s="242"/>
    </row>
    <row r="162" spans="1:12">
      <c r="A162" s="91" t="s">
        <v>656</v>
      </c>
      <c r="B162" s="204">
        <v>0.5</v>
      </c>
      <c r="E162" s="242"/>
      <c r="F162" s="242"/>
      <c r="G162" s="242"/>
      <c r="H162" s="242"/>
      <c r="I162" s="242"/>
      <c r="J162" s="242"/>
      <c r="K162" s="242"/>
      <c r="L162" s="242"/>
    </row>
    <row r="163" spans="1:12" ht="13.5" thickBot="1">
      <c r="A163" s="91" t="s">
        <v>657</v>
      </c>
      <c r="B163" s="205">
        <v>1.25</v>
      </c>
      <c r="E163" s="242"/>
      <c r="F163" s="242"/>
      <c r="G163" s="242"/>
      <c r="H163" s="242"/>
      <c r="I163" s="242"/>
      <c r="J163" s="242"/>
      <c r="K163" s="242"/>
      <c r="L163" s="242"/>
    </row>
    <row r="164" spans="1:12">
      <c r="B164" s="84" t="s">
        <v>447</v>
      </c>
      <c r="E164" s="242"/>
      <c r="F164" s="242"/>
      <c r="G164" s="242"/>
      <c r="H164" s="242"/>
      <c r="I164" s="242"/>
      <c r="J164" s="242"/>
      <c r="K164" s="242"/>
      <c r="L164" s="242"/>
    </row>
    <row r="165" spans="1:12">
      <c r="A165" s="54" t="s">
        <v>666</v>
      </c>
      <c r="B165" s="25" t="s">
        <v>662</v>
      </c>
      <c r="E165" s="242"/>
      <c r="F165" s="242"/>
      <c r="G165" s="242"/>
      <c r="H165" s="242"/>
      <c r="I165" s="242"/>
      <c r="J165" s="242"/>
      <c r="K165" s="242"/>
      <c r="L165" s="242"/>
    </row>
    <row r="166" spans="1:12">
      <c r="A166" s="54" t="s">
        <v>26</v>
      </c>
      <c r="B166" s="46">
        <f>B162*B163</f>
        <v>0.625</v>
      </c>
      <c r="C166" s="25" t="s">
        <v>269</v>
      </c>
      <c r="E166" s="242"/>
      <c r="F166" s="242"/>
      <c r="G166" s="242"/>
      <c r="H166" s="242"/>
      <c r="I166" s="242"/>
      <c r="J166" s="242"/>
      <c r="K166" s="242"/>
      <c r="L166" s="242"/>
    </row>
    <row r="167" spans="1:12">
      <c r="A167" s="54" t="s">
        <v>654</v>
      </c>
      <c r="B167" s="25" t="s">
        <v>655</v>
      </c>
      <c r="E167" s="242"/>
      <c r="F167" s="242"/>
      <c r="G167" s="242"/>
      <c r="H167" s="242"/>
      <c r="I167" s="242"/>
      <c r="J167" s="242"/>
      <c r="K167" s="242"/>
      <c r="L167" s="242"/>
    </row>
    <row r="168" spans="1:12">
      <c r="A168" s="54" t="s">
        <v>282</v>
      </c>
      <c r="B168" s="71">
        <f>B162*B163^3 / 12</f>
        <v>8.1380208333333329E-2</v>
      </c>
      <c r="C168" s="25" t="s">
        <v>284</v>
      </c>
      <c r="E168" s="242"/>
      <c r="F168" s="242"/>
      <c r="G168" s="242"/>
      <c r="H168" s="242"/>
      <c r="I168" s="242"/>
      <c r="J168" s="242"/>
      <c r="K168" s="242"/>
      <c r="L168" s="242"/>
    </row>
    <row r="169" spans="1:12">
      <c r="E169" s="242"/>
      <c r="F169" s="242"/>
      <c r="G169" s="242"/>
      <c r="H169" s="242"/>
      <c r="I169" s="242"/>
      <c r="J169" s="242"/>
      <c r="K169" s="242"/>
      <c r="L169" s="242"/>
    </row>
    <row r="170" spans="1:12" ht="13.5" thickBot="1">
      <c r="A170" s="71" t="s">
        <v>659</v>
      </c>
      <c r="B170" s="94" t="s">
        <v>121</v>
      </c>
      <c r="E170" s="242"/>
      <c r="F170" s="242"/>
      <c r="G170" s="242"/>
      <c r="H170" s="242"/>
      <c r="I170" s="242"/>
      <c r="J170" s="242"/>
      <c r="K170" s="242"/>
      <c r="L170" s="242"/>
    </row>
    <row r="171" spans="1:12" ht="13.5" thickBot="1">
      <c r="A171" s="91" t="s">
        <v>660</v>
      </c>
      <c r="B171" s="203">
        <v>1.5</v>
      </c>
      <c r="C171" s="41" t="s">
        <v>477</v>
      </c>
      <c r="E171" s="242"/>
      <c r="F171" s="242"/>
      <c r="G171" s="242"/>
      <c r="H171" s="242"/>
      <c r="I171" s="242"/>
      <c r="J171" s="242"/>
      <c r="K171" s="242"/>
      <c r="L171" s="242"/>
    </row>
    <row r="172" spans="1:12">
      <c r="B172" s="84" t="s">
        <v>447</v>
      </c>
      <c r="E172" s="242"/>
      <c r="F172" s="242"/>
      <c r="G172" s="242"/>
      <c r="H172" s="242"/>
      <c r="I172" s="242"/>
      <c r="J172" s="242"/>
      <c r="K172" s="242"/>
      <c r="L172" s="242"/>
    </row>
    <row r="173" spans="1:12">
      <c r="A173" s="54" t="s">
        <v>666</v>
      </c>
      <c r="B173" s="163" t="s">
        <v>663</v>
      </c>
      <c r="E173" s="242"/>
      <c r="F173" s="242"/>
      <c r="G173" s="242"/>
      <c r="H173" s="242"/>
      <c r="I173" s="242"/>
      <c r="J173" s="242"/>
      <c r="K173" s="242"/>
      <c r="L173" s="242"/>
    </row>
    <row r="174" spans="1:12">
      <c r="A174" s="54" t="s">
        <v>26</v>
      </c>
      <c r="B174" s="165">
        <f>3.1416*B171^2 / 4</f>
        <v>1.76715</v>
      </c>
      <c r="C174" s="25" t="s">
        <v>269</v>
      </c>
      <c r="E174" s="242"/>
      <c r="F174" s="242"/>
      <c r="G174" s="242"/>
      <c r="H174" s="242"/>
      <c r="I174" s="242"/>
      <c r="J174" s="242"/>
      <c r="K174" s="242"/>
      <c r="L174" s="242"/>
    </row>
    <row r="175" spans="1:12">
      <c r="A175" s="54" t="s">
        <v>654</v>
      </c>
      <c r="B175" s="163" t="s">
        <v>661</v>
      </c>
      <c r="E175" s="242"/>
      <c r="F175" s="242"/>
      <c r="G175" s="242"/>
      <c r="H175" s="242"/>
      <c r="I175" s="242"/>
      <c r="J175" s="242"/>
      <c r="K175" s="242"/>
      <c r="L175" s="242"/>
    </row>
    <row r="176" spans="1:12">
      <c r="A176" s="54" t="s">
        <v>282</v>
      </c>
      <c r="B176" s="164">
        <f>3.1416*B171^4 / 64</f>
        <v>0.24850546874999999</v>
      </c>
      <c r="C176" s="25" t="s">
        <v>284</v>
      </c>
      <c r="E176" s="242"/>
      <c r="F176" s="242"/>
      <c r="G176" s="242"/>
      <c r="H176" s="242"/>
      <c r="I176" s="242"/>
      <c r="J176" s="242"/>
      <c r="K176" s="242"/>
      <c r="L176" s="242"/>
    </row>
    <row r="177" spans="1:12">
      <c r="A177" s="54" t="s">
        <v>664</v>
      </c>
      <c r="B177" s="163" t="s">
        <v>665</v>
      </c>
      <c r="E177" s="242"/>
      <c r="F177" s="242"/>
      <c r="G177" s="242"/>
      <c r="H177" s="242"/>
      <c r="I177" s="242"/>
      <c r="J177" s="242"/>
      <c r="K177" s="242"/>
      <c r="L177" s="242"/>
    </row>
    <row r="178" spans="1:12">
      <c r="A178" s="54" t="s">
        <v>554</v>
      </c>
      <c r="B178" s="164">
        <f>3.1416*B171^4 / 32</f>
        <v>0.49701093749999997</v>
      </c>
      <c r="C178" s="25" t="s">
        <v>284</v>
      </c>
      <c r="E178" s="242"/>
      <c r="F178" s="242"/>
      <c r="G178" s="242"/>
      <c r="H178" s="242"/>
      <c r="I178" s="242"/>
      <c r="J178" s="242"/>
      <c r="K178" s="242"/>
      <c r="L178" s="242"/>
    </row>
    <row r="179" spans="1:12">
      <c r="E179" s="242"/>
      <c r="F179" s="242"/>
      <c r="G179" s="242"/>
      <c r="H179" s="242"/>
      <c r="I179" s="242"/>
      <c r="J179" s="242"/>
      <c r="K179" s="242"/>
      <c r="L179" s="242"/>
    </row>
    <row r="180" spans="1:12">
      <c r="E180" s="242"/>
      <c r="F180" s="242"/>
      <c r="G180" s="242"/>
      <c r="H180" s="242"/>
      <c r="I180" s="242"/>
      <c r="J180" s="242"/>
      <c r="K180" s="242"/>
      <c r="L180" s="242"/>
    </row>
    <row r="181" spans="1:12">
      <c r="E181" s="242"/>
      <c r="F181" s="242"/>
      <c r="G181" s="242"/>
      <c r="H181" s="242"/>
      <c r="I181" s="242"/>
      <c r="J181" s="242"/>
      <c r="K181" s="242"/>
      <c r="L181" s="242"/>
    </row>
    <row r="182" spans="1:12">
      <c r="E182" s="242"/>
      <c r="F182" s="242"/>
      <c r="G182" s="242"/>
      <c r="H182" s="242"/>
      <c r="I182" s="242"/>
      <c r="J182" s="242"/>
      <c r="K182" s="242"/>
      <c r="L182" s="242"/>
    </row>
    <row r="183" spans="1:12" ht="15">
      <c r="A183" s="127" t="s">
        <v>153</v>
      </c>
      <c r="B183" s="128"/>
      <c r="C183" s="128"/>
      <c r="D183" s="128"/>
      <c r="E183" s="242"/>
      <c r="F183" s="242"/>
      <c r="G183" s="242"/>
      <c r="H183" s="242"/>
      <c r="I183" s="242"/>
      <c r="J183" s="242"/>
      <c r="K183" s="242"/>
      <c r="L183" s="242"/>
    </row>
    <row r="184" spans="1:12" ht="15.75">
      <c r="A184" s="129" t="s">
        <v>154</v>
      </c>
      <c r="B184" s="128"/>
      <c r="C184" s="128"/>
      <c r="D184" s="128"/>
      <c r="E184" s="242"/>
      <c r="F184" s="242"/>
      <c r="G184" s="242"/>
      <c r="H184" s="242"/>
      <c r="I184" s="242"/>
      <c r="J184" s="242"/>
      <c r="K184" s="242"/>
      <c r="L184" s="242"/>
    </row>
    <row r="185" spans="1:12" ht="15">
      <c r="A185" s="128" t="s">
        <v>155</v>
      </c>
      <c r="B185" s="128"/>
      <c r="C185" s="128"/>
      <c r="D185" s="128"/>
      <c r="E185" s="242"/>
      <c r="F185" s="242"/>
      <c r="G185" s="242"/>
      <c r="H185" s="242"/>
      <c r="I185" s="242"/>
      <c r="J185" s="242"/>
      <c r="K185" s="242"/>
      <c r="L185" s="242"/>
    </row>
    <row r="186" spans="1:12" ht="15.75">
      <c r="A186" s="129" t="s">
        <v>156</v>
      </c>
      <c r="B186" s="128"/>
      <c r="C186" s="128"/>
      <c r="D186" s="128"/>
      <c r="E186" s="242"/>
      <c r="F186" s="242"/>
      <c r="G186" s="242"/>
      <c r="H186" s="242"/>
      <c r="I186" s="242"/>
      <c r="J186" s="242"/>
      <c r="K186" s="242"/>
      <c r="L186" s="242"/>
    </row>
    <row r="187" spans="1:12">
      <c r="E187" s="242"/>
      <c r="F187" s="242"/>
      <c r="G187" s="242"/>
      <c r="H187" s="242"/>
      <c r="I187" s="242"/>
      <c r="J187" s="242"/>
      <c r="K187" s="242"/>
      <c r="L187" s="242"/>
    </row>
    <row r="188" spans="1:12">
      <c r="E188" s="242"/>
      <c r="F188" s="242"/>
      <c r="G188" s="242"/>
      <c r="H188" s="242"/>
      <c r="I188" s="242"/>
      <c r="J188" s="242"/>
      <c r="K188" s="242"/>
      <c r="L188" s="242"/>
    </row>
    <row r="189" spans="1:12">
      <c r="E189" s="242"/>
      <c r="F189" s="242"/>
      <c r="G189" s="242"/>
      <c r="H189" s="242"/>
      <c r="I189" s="242"/>
      <c r="J189" s="242"/>
      <c r="K189" s="242"/>
      <c r="L189" s="242"/>
    </row>
    <row r="190" spans="1:12">
      <c r="E190" s="242"/>
      <c r="F190" s="242"/>
      <c r="G190" s="242"/>
      <c r="H190" s="242"/>
      <c r="I190" s="242"/>
      <c r="J190" s="242"/>
      <c r="K190" s="242"/>
      <c r="L190" s="242"/>
    </row>
    <row r="191" spans="1:12">
      <c r="E191" s="242"/>
      <c r="F191" s="242"/>
      <c r="G191" s="242"/>
      <c r="H191" s="242"/>
      <c r="I191" s="242"/>
      <c r="J191" s="242"/>
      <c r="K191" s="242"/>
      <c r="L191" s="242"/>
    </row>
    <row r="192" spans="1:12">
      <c r="E192" s="242"/>
      <c r="F192" s="242"/>
      <c r="G192" s="242"/>
      <c r="H192" s="242"/>
      <c r="I192" s="242"/>
      <c r="J192" s="242"/>
      <c r="K192" s="242"/>
      <c r="L192" s="242"/>
    </row>
    <row r="193" spans="4:12">
      <c r="E193" s="242"/>
      <c r="F193" s="242"/>
      <c r="G193" s="242"/>
      <c r="H193" s="242"/>
      <c r="I193" s="242"/>
      <c r="J193" s="242"/>
      <c r="K193" s="242"/>
      <c r="L193" s="242"/>
    </row>
    <row r="194" spans="4:12">
      <c r="E194" s="242"/>
      <c r="F194" s="242"/>
      <c r="G194" s="242"/>
      <c r="H194" s="242"/>
      <c r="I194" s="242"/>
      <c r="J194" s="242"/>
      <c r="K194" s="242"/>
      <c r="L194" s="242"/>
    </row>
    <row r="195" spans="4:12">
      <c r="E195" s="242"/>
      <c r="F195" s="242"/>
      <c r="G195" s="242"/>
      <c r="H195" s="242"/>
      <c r="I195" s="242"/>
      <c r="J195" s="242"/>
      <c r="K195" s="242"/>
      <c r="L195" s="242"/>
    </row>
    <row r="196" spans="4:12">
      <c r="E196" s="242"/>
      <c r="F196" s="242"/>
      <c r="G196" s="242"/>
      <c r="H196" s="242"/>
      <c r="I196" s="242"/>
      <c r="J196" s="242"/>
      <c r="K196" s="242"/>
      <c r="L196" s="242"/>
    </row>
    <row r="197" spans="4:12">
      <c r="E197" s="242"/>
      <c r="F197" s="242"/>
      <c r="G197" s="242"/>
      <c r="H197" s="242"/>
      <c r="I197" s="242"/>
      <c r="J197" s="242"/>
      <c r="K197" s="242"/>
      <c r="L197" s="242"/>
    </row>
    <row r="198" spans="4:12">
      <c r="E198" s="242"/>
      <c r="F198" s="242"/>
      <c r="G198" s="242"/>
      <c r="H198" s="242"/>
      <c r="I198" s="242"/>
      <c r="J198" s="242"/>
      <c r="K198" s="242"/>
      <c r="L198" s="242"/>
    </row>
    <row r="199" spans="4:12">
      <c r="E199" s="242"/>
      <c r="F199" s="242"/>
      <c r="G199" s="242"/>
      <c r="H199" s="242"/>
      <c r="I199" s="242"/>
      <c r="J199" s="242"/>
      <c r="K199" s="242"/>
      <c r="L199" s="242"/>
    </row>
    <row r="200" spans="4:12">
      <c r="D200" s="54" t="s">
        <v>3</v>
      </c>
      <c r="E200" s="242"/>
      <c r="F200" s="242"/>
      <c r="G200" s="242"/>
      <c r="H200" s="242"/>
      <c r="I200" s="242"/>
      <c r="J200" s="242"/>
      <c r="K200" s="242"/>
      <c r="L200" s="242"/>
    </row>
    <row r="201" spans="4:12">
      <c r="E201" s="242"/>
      <c r="F201" s="242"/>
      <c r="G201" s="242"/>
      <c r="H201" s="242"/>
      <c r="I201" s="242"/>
      <c r="J201" s="242"/>
      <c r="K201" s="242"/>
      <c r="L201" s="242"/>
    </row>
  </sheetData>
  <sheetProtection sheet="1" objects="1" scenarios="1" formatCells="0" selectLockedCells="1"/>
  <phoneticPr fontId="3" type="noConversion"/>
  <pageMargins left="0.75" right="0.75" top="1" bottom="1" header="0.5" footer="0.5"/>
  <pageSetup orientation="portrait" horizontalDpi="4294967295" verticalDpi="0" r:id="rId1"/>
  <headerFooter alignWithMargins="0"/>
  <drawing r:id="rId2"/>
</worksheet>
</file>

<file path=xl/worksheets/sheet4.xml><?xml version="1.0" encoding="utf-8"?>
<worksheet xmlns="http://schemas.openxmlformats.org/spreadsheetml/2006/main" xmlns:r="http://schemas.openxmlformats.org/officeDocument/2006/relationships">
  <dimension ref="A1:J318"/>
  <sheetViews>
    <sheetView workbookViewId="0">
      <selection activeCell="I37" sqref="I37"/>
    </sheetView>
  </sheetViews>
  <sheetFormatPr defaultRowHeight="12.75"/>
  <cols>
    <col min="1" max="1" width="37" customWidth="1"/>
    <col min="2" max="2" width="26.28515625" customWidth="1"/>
    <col min="3" max="3" width="6.5703125" customWidth="1"/>
    <col min="4" max="4" width="10.7109375" customWidth="1"/>
    <col min="6" max="6" width="17.85546875" customWidth="1"/>
    <col min="9" max="9" width="17.28515625" customWidth="1"/>
  </cols>
  <sheetData>
    <row r="1" spans="1:9" ht="15.75">
      <c r="A1" s="291" t="s">
        <v>570</v>
      </c>
      <c r="F1" s="266"/>
      <c r="G1" s="266"/>
      <c r="H1" s="266"/>
      <c r="I1" s="266"/>
    </row>
    <row r="2" spans="1:9">
      <c r="B2" s="47"/>
      <c r="D2" s="48"/>
      <c r="F2" s="266"/>
      <c r="G2" s="266"/>
      <c r="H2" s="266"/>
      <c r="I2" s="266"/>
    </row>
    <row r="3" spans="1:9">
      <c r="A3" s="46" t="s">
        <v>273</v>
      </c>
      <c r="B3" s="47"/>
      <c r="F3" s="266"/>
      <c r="G3" s="266"/>
      <c r="H3" s="266"/>
      <c r="I3" s="266"/>
    </row>
    <row r="4" spans="1:9">
      <c r="A4" s="49"/>
      <c r="B4" s="47"/>
      <c r="F4" s="266"/>
      <c r="G4" s="266"/>
      <c r="H4" s="266"/>
      <c r="I4" s="266"/>
    </row>
    <row r="5" spans="1:9">
      <c r="A5" s="49"/>
      <c r="B5" s="47"/>
      <c r="F5" s="266"/>
      <c r="G5" s="266"/>
      <c r="H5" s="266"/>
      <c r="I5" s="266"/>
    </row>
    <row r="6" spans="1:9">
      <c r="A6" s="49"/>
      <c r="B6" s="47"/>
      <c r="F6" s="266"/>
      <c r="G6" s="266"/>
      <c r="H6" s="266"/>
      <c r="I6" s="266"/>
    </row>
    <row r="7" spans="1:9">
      <c r="A7" s="49"/>
      <c r="B7" s="47"/>
      <c r="F7" s="266"/>
      <c r="G7" s="266"/>
      <c r="H7" s="266"/>
      <c r="I7" s="266"/>
    </row>
    <row r="8" spans="1:9">
      <c r="A8" s="49"/>
      <c r="B8" s="47"/>
      <c r="F8" s="266"/>
      <c r="G8" s="266"/>
      <c r="H8" s="266"/>
      <c r="I8" s="266"/>
    </row>
    <row r="9" spans="1:9">
      <c r="A9" s="49"/>
      <c r="B9" s="47"/>
      <c r="F9" s="266"/>
      <c r="G9" s="266"/>
      <c r="H9" s="266"/>
      <c r="I9" s="266"/>
    </row>
    <row r="10" spans="1:9">
      <c r="A10" s="49"/>
      <c r="B10" s="47"/>
      <c r="F10" s="266"/>
      <c r="G10" s="266"/>
      <c r="H10" s="266"/>
      <c r="I10" s="266"/>
    </row>
    <row r="11" spans="1:9">
      <c r="A11" s="49"/>
      <c r="B11" s="47"/>
      <c r="F11" s="266"/>
      <c r="G11" s="266"/>
      <c r="H11" s="266"/>
      <c r="I11" s="266"/>
    </row>
    <row r="12" spans="1:9">
      <c r="A12" s="49"/>
      <c r="B12" s="47"/>
      <c r="F12" s="266"/>
      <c r="G12" s="266"/>
      <c r="H12" s="266"/>
      <c r="I12" s="266"/>
    </row>
    <row r="13" spans="1:9">
      <c r="A13" s="49"/>
      <c r="B13" s="47"/>
      <c r="F13" s="266"/>
      <c r="G13" s="266"/>
      <c r="H13" s="266"/>
      <c r="I13" s="266"/>
    </row>
    <row r="14" spans="1:9">
      <c r="A14" s="49"/>
      <c r="B14" s="47"/>
      <c r="F14" s="266"/>
      <c r="G14" s="266"/>
      <c r="H14" s="266"/>
      <c r="I14" s="266"/>
    </row>
    <row r="15" spans="1:9">
      <c r="A15" s="49"/>
      <c r="B15" s="47"/>
      <c r="F15" s="266"/>
      <c r="G15" s="266"/>
      <c r="H15" s="266"/>
      <c r="I15" s="266"/>
    </row>
    <row r="16" spans="1:9">
      <c r="A16" s="49"/>
      <c r="B16" s="47"/>
      <c r="F16" s="266"/>
      <c r="G16" s="266"/>
      <c r="H16" s="266"/>
      <c r="I16" s="266"/>
    </row>
    <row r="17" spans="1:9">
      <c r="A17" s="49"/>
      <c r="B17" s="47"/>
      <c r="F17" s="266"/>
      <c r="G17" s="266"/>
      <c r="H17" s="266"/>
      <c r="I17" s="266"/>
    </row>
    <row r="18" spans="1:9">
      <c r="F18" s="266"/>
      <c r="G18" s="266"/>
      <c r="H18" s="266"/>
      <c r="I18" s="266"/>
    </row>
    <row r="19" spans="1:9">
      <c r="F19" s="266"/>
      <c r="G19" s="266"/>
      <c r="H19" s="266"/>
      <c r="I19" s="266"/>
    </row>
    <row r="20" spans="1:9">
      <c r="F20" s="266"/>
      <c r="G20" s="266"/>
      <c r="H20" s="266"/>
      <c r="I20" s="266"/>
    </row>
    <row r="21" spans="1:9">
      <c r="F21" s="266"/>
      <c r="G21" s="266"/>
      <c r="H21" s="266"/>
      <c r="I21" s="266"/>
    </row>
    <row r="22" spans="1:9">
      <c r="A22" t="s">
        <v>322</v>
      </c>
      <c r="F22" s="266"/>
      <c r="G22" s="266"/>
      <c r="H22" s="266"/>
      <c r="I22" s="266"/>
    </row>
    <row r="23" spans="1:9">
      <c r="A23" t="s">
        <v>705</v>
      </c>
      <c r="F23" s="266"/>
      <c r="G23" s="266"/>
      <c r="H23" s="266"/>
      <c r="I23" s="266"/>
    </row>
    <row r="24" spans="1:9">
      <c r="F24" s="266"/>
      <c r="G24" s="266"/>
      <c r="H24" s="266"/>
      <c r="I24" s="266"/>
    </row>
    <row r="25" spans="1:9">
      <c r="F25" s="266"/>
      <c r="G25" s="266"/>
      <c r="H25" s="266"/>
      <c r="I25" s="266"/>
    </row>
    <row r="26" spans="1:9">
      <c r="F26" s="266"/>
      <c r="G26" s="266"/>
      <c r="H26" s="266"/>
      <c r="I26" s="266"/>
    </row>
    <row r="27" spans="1:9">
      <c r="F27" s="266"/>
      <c r="G27" s="266"/>
      <c r="H27" s="266"/>
      <c r="I27" s="266"/>
    </row>
    <row r="28" spans="1:9">
      <c r="B28" s="47"/>
      <c r="F28" s="266"/>
      <c r="G28" s="266"/>
      <c r="H28" s="266"/>
      <c r="I28" s="266"/>
    </row>
    <row r="29" spans="1:9">
      <c r="B29" s="47"/>
      <c r="F29" s="266"/>
      <c r="G29" s="266"/>
      <c r="H29" s="266"/>
      <c r="I29" s="266"/>
    </row>
    <row r="30" spans="1:9">
      <c r="F30" s="266"/>
      <c r="G30" s="266"/>
      <c r="H30" s="266"/>
      <c r="I30" s="266"/>
    </row>
    <row r="31" spans="1:9">
      <c r="F31" s="266"/>
      <c r="G31" s="266"/>
      <c r="H31" s="266"/>
      <c r="I31" s="266"/>
    </row>
    <row r="32" spans="1:9">
      <c r="F32" s="266"/>
      <c r="G32" s="266"/>
      <c r="H32" s="266"/>
      <c r="I32" s="266"/>
    </row>
    <row r="33" spans="1:10">
      <c r="F33" s="266"/>
      <c r="G33" s="266"/>
      <c r="H33" s="266"/>
      <c r="I33" s="266"/>
    </row>
    <row r="34" spans="1:10">
      <c r="F34" s="266"/>
      <c r="G34" s="266"/>
      <c r="H34" s="266"/>
      <c r="I34" s="266"/>
    </row>
    <row r="35" spans="1:10">
      <c r="F35" s="266"/>
      <c r="G35" s="266"/>
      <c r="H35" s="266"/>
      <c r="I35" s="266"/>
    </row>
    <row r="36" spans="1:10">
      <c r="F36" s="266"/>
      <c r="G36" s="266"/>
      <c r="H36" s="266"/>
      <c r="I36" s="266"/>
    </row>
    <row r="37" spans="1:10">
      <c r="F37" s="266"/>
      <c r="G37" s="266"/>
      <c r="H37" s="266"/>
      <c r="I37" s="266"/>
    </row>
    <row r="38" spans="1:10">
      <c r="F38" s="266"/>
      <c r="G38" s="266"/>
      <c r="H38" s="266"/>
      <c r="I38" s="266"/>
    </row>
    <row r="39" spans="1:10">
      <c r="A39" s="46" t="s">
        <v>646</v>
      </c>
      <c r="F39" s="266"/>
      <c r="G39" s="266"/>
      <c r="H39" s="266"/>
      <c r="I39" s="266"/>
    </row>
    <row r="40" spans="1:10">
      <c r="A40" s="59" t="s">
        <v>680</v>
      </c>
      <c r="F40" s="266"/>
      <c r="G40" s="266"/>
      <c r="H40" s="266"/>
      <c r="I40" s="266"/>
    </row>
    <row r="41" spans="1:10">
      <c r="F41" s="266"/>
      <c r="G41" s="266"/>
      <c r="H41" s="266"/>
      <c r="I41" s="266"/>
    </row>
    <row r="42" spans="1:10" ht="13.5" thickBot="1">
      <c r="B42" s="85" t="s">
        <v>121</v>
      </c>
      <c r="F42" s="266" t="s">
        <v>715</v>
      </c>
      <c r="G42" s="266"/>
      <c r="H42" s="266"/>
      <c r="I42" s="266"/>
    </row>
    <row r="43" spans="1:10">
      <c r="A43" s="49" t="s">
        <v>321</v>
      </c>
      <c r="B43" s="262">
        <v>200</v>
      </c>
      <c r="C43" t="s">
        <v>275</v>
      </c>
      <c r="F43" s="262">
        <v>200</v>
      </c>
      <c r="G43" s="266"/>
      <c r="H43" s="266"/>
      <c r="I43" s="266"/>
      <c r="J43" s="266"/>
    </row>
    <row r="44" spans="1:10">
      <c r="A44" s="49" t="s">
        <v>643</v>
      </c>
      <c r="B44" s="263">
        <v>0.5</v>
      </c>
      <c r="C44" t="s">
        <v>30</v>
      </c>
      <c r="F44" s="263">
        <v>0.5</v>
      </c>
      <c r="G44" s="266"/>
      <c r="H44" s="266"/>
      <c r="I44" s="266"/>
      <c r="J44" s="266"/>
    </row>
    <row r="45" spans="1:10">
      <c r="A45" s="49" t="s">
        <v>634</v>
      </c>
      <c r="B45" s="263">
        <v>1.25</v>
      </c>
      <c r="C45" t="s">
        <v>30</v>
      </c>
      <c r="F45" s="263">
        <v>1.25</v>
      </c>
      <c r="G45" s="266"/>
      <c r="H45" s="266"/>
      <c r="I45" s="266"/>
      <c r="J45" s="266"/>
    </row>
    <row r="46" spans="1:10">
      <c r="A46" s="49" t="s">
        <v>644</v>
      </c>
      <c r="B46" s="263">
        <v>1.5</v>
      </c>
      <c r="C46" t="s">
        <v>30</v>
      </c>
      <c r="F46" s="263">
        <v>1.5</v>
      </c>
      <c r="G46" s="266"/>
      <c r="H46" s="266"/>
      <c r="I46" s="266"/>
      <c r="J46" s="266"/>
    </row>
    <row r="47" spans="1:10">
      <c r="A47" s="49" t="s">
        <v>347</v>
      </c>
      <c r="B47" s="263">
        <v>0.125</v>
      </c>
      <c r="C47" t="s">
        <v>30</v>
      </c>
      <c r="F47" s="263">
        <v>0.125</v>
      </c>
      <c r="G47" s="266"/>
      <c r="H47" s="266"/>
      <c r="I47" s="266"/>
      <c r="J47" s="266"/>
    </row>
    <row r="48" spans="1:10">
      <c r="A48" s="49" t="s">
        <v>645</v>
      </c>
      <c r="B48" s="263">
        <v>20</v>
      </c>
      <c r="C48" t="s">
        <v>30</v>
      </c>
      <c r="F48" s="263">
        <v>20</v>
      </c>
      <c r="G48" s="266"/>
      <c r="H48" s="266"/>
      <c r="I48" s="266"/>
      <c r="J48" s="266"/>
    </row>
    <row r="49" spans="1:10">
      <c r="A49" s="49" t="s">
        <v>349</v>
      </c>
      <c r="B49" s="263">
        <v>20</v>
      </c>
      <c r="C49" t="s">
        <v>30</v>
      </c>
      <c r="F49" s="263">
        <v>21</v>
      </c>
      <c r="G49" s="266"/>
      <c r="H49" s="266"/>
      <c r="I49" s="266"/>
      <c r="J49" s="266"/>
    </row>
    <row r="50" spans="1:10">
      <c r="A50" s="49" t="s">
        <v>647</v>
      </c>
      <c r="B50" s="264">
        <v>80000</v>
      </c>
      <c r="C50" t="s">
        <v>42</v>
      </c>
      <c r="F50" s="264">
        <v>80000</v>
      </c>
      <c r="G50" s="266"/>
      <c r="H50" s="266"/>
      <c r="I50" s="266"/>
      <c r="J50" s="266"/>
    </row>
    <row r="51" spans="1:10">
      <c r="A51" s="49" t="s">
        <v>277</v>
      </c>
      <c r="B51" s="264">
        <v>30000000</v>
      </c>
      <c r="C51" t="s">
        <v>42</v>
      </c>
      <c r="F51" s="264">
        <v>30000000</v>
      </c>
      <c r="G51" s="266"/>
      <c r="H51" s="266"/>
      <c r="I51" s="266"/>
      <c r="J51" s="266"/>
    </row>
    <row r="52" spans="1:10" ht="13.5" thickBot="1">
      <c r="A52" s="49" t="s">
        <v>93</v>
      </c>
      <c r="B52" s="265">
        <v>99.9</v>
      </c>
      <c r="C52" t="s">
        <v>39</v>
      </c>
      <c r="E52" s="51" t="s">
        <v>0</v>
      </c>
      <c r="F52" s="265">
        <v>99.99</v>
      </c>
      <c r="G52" s="266"/>
      <c r="H52" s="266"/>
      <c r="I52" s="266"/>
      <c r="J52" s="266"/>
    </row>
    <row r="53" spans="1:10">
      <c r="F53" s="266"/>
      <c r="G53" s="266"/>
      <c r="H53" s="266"/>
      <c r="I53" s="266"/>
      <c r="J53" s="266"/>
    </row>
    <row r="54" spans="1:10">
      <c r="A54" s="46" t="s">
        <v>54</v>
      </c>
      <c r="B54" s="85" t="s">
        <v>447</v>
      </c>
      <c r="F54" s="266"/>
      <c r="G54" s="266"/>
      <c r="H54" s="266"/>
      <c r="I54" s="266"/>
      <c r="J54" s="266"/>
    </row>
    <row r="55" spans="1:10">
      <c r="A55" s="54" t="s">
        <v>278</v>
      </c>
      <c r="B55" s="64" t="s">
        <v>279</v>
      </c>
      <c r="C55" s="25"/>
      <c r="F55" s="266"/>
      <c r="G55" s="266"/>
      <c r="H55" s="266"/>
      <c r="I55" s="266"/>
      <c r="J55" s="266"/>
    </row>
    <row r="56" spans="1:10">
      <c r="A56" s="54" t="s">
        <v>280</v>
      </c>
      <c r="B56" s="63">
        <f>B43*B48</f>
        <v>4000</v>
      </c>
      <c r="C56" s="25" t="s">
        <v>281</v>
      </c>
      <c r="F56" s="266"/>
      <c r="G56" s="266"/>
      <c r="H56" s="266"/>
      <c r="I56" s="266"/>
      <c r="J56" s="266"/>
    </row>
    <row r="57" spans="1:10">
      <c r="A57" s="54" t="s">
        <v>282</v>
      </c>
      <c r="B57" s="64" t="s">
        <v>283</v>
      </c>
      <c r="C57" s="25"/>
      <c r="F57" s="266"/>
      <c r="G57" s="266"/>
      <c r="H57" s="266"/>
      <c r="I57" s="266"/>
      <c r="J57" s="266"/>
    </row>
    <row r="58" spans="1:10">
      <c r="A58" s="54" t="s">
        <v>282</v>
      </c>
      <c r="B58" s="151">
        <f>B44*B45^3/12</f>
        <v>8.1380208333333329E-2</v>
      </c>
      <c r="C58" s="25" t="s">
        <v>284</v>
      </c>
      <c r="F58" s="266"/>
      <c r="G58" s="266"/>
      <c r="H58" s="266"/>
      <c r="I58" s="266"/>
      <c r="J58" s="266"/>
    </row>
    <row r="59" spans="1:10">
      <c r="A59" s="54" t="s">
        <v>285</v>
      </c>
      <c r="B59" s="64" t="s">
        <v>286</v>
      </c>
      <c r="C59" s="25"/>
      <c r="F59" s="266"/>
      <c r="G59" s="266"/>
      <c r="H59" s="266"/>
      <c r="I59" s="266"/>
      <c r="J59" s="266"/>
    </row>
    <row r="60" spans="1:10">
      <c r="A60" s="54" t="s">
        <v>285</v>
      </c>
      <c r="B60" s="64">
        <f>B45/2</f>
        <v>0.625</v>
      </c>
      <c r="C60" s="25" t="s">
        <v>30</v>
      </c>
      <c r="F60" s="266"/>
      <c r="G60" s="266"/>
      <c r="H60" s="266"/>
      <c r="I60" s="266"/>
      <c r="J60" s="266"/>
    </row>
    <row r="61" spans="1:10">
      <c r="A61" s="54" t="s">
        <v>287</v>
      </c>
      <c r="B61" s="64" t="s">
        <v>288</v>
      </c>
      <c r="C61" s="25"/>
      <c r="F61" s="266"/>
      <c r="G61" s="266"/>
      <c r="H61" s="266"/>
      <c r="I61" s="266"/>
      <c r="J61" s="266"/>
    </row>
    <row r="62" spans="1:10">
      <c r="A62" s="167" t="s">
        <v>682</v>
      </c>
      <c r="B62" s="63">
        <f>B56*B60/B58</f>
        <v>30720</v>
      </c>
      <c r="C62" s="25" t="s">
        <v>42</v>
      </c>
      <c r="F62" s="266"/>
      <c r="G62" s="266"/>
      <c r="H62" s="266"/>
      <c r="I62" s="266"/>
      <c r="J62" s="266"/>
    </row>
    <row r="63" spans="1:10">
      <c r="B63" s="85" t="s">
        <v>54</v>
      </c>
      <c r="F63" s="266"/>
      <c r="G63" s="266"/>
      <c r="H63" s="266"/>
      <c r="I63" s="266"/>
      <c r="J63" s="266"/>
    </row>
    <row r="64" spans="1:10">
      <c r="A64" s="54" t="s">
        <v>289</v>
      </c>
      <c r="B64" s="85" t="s">
        <v>447</v>
      </c>
      <c r="F64" s="266"/>
      <c r="G64" s="266"/>
      <c r="H64" s="266"/>
      <c r="I64" s="266"/>
      <c r="J64" s="266"/>
    </row>
    <row r="65" spans="1:10">
      <c r="A65" s="54" t="s">
        <v>669</v>
      </c>
      <c r="B65" s="156">
        <f>B46/B45</f>
        <v>1.2</v>
      </c>
      <c r="C65" t="s">
        <v>563</v>
      </c>
      <c r="F65" s="266"/>
      <c r="G65" s="266"/>
      <c r="H65" s="266"/>
      <c r="I65" s="266"/>
      <c r="J65" s="266"/>
    </row>
    <row r="66" spans="1:10">
      <c r="A66" s="54" t="s">
        <v>670</v>
      </c>
      <c r="B66" s="156">
        <f>B47/B45</f>
        <v>0.1</v>
      </c>
      <c r="C66" t="s">
        <v>563</v>
      </c>
      <c r="F66" s="266"/>
      <c r="G66" s="266"/>
      <c r="H66" s="266"/>
      <c r="I66" s="266"/>
      <c r="J66" s="266"/>
    </row>
    <row r="67" spans="1:10" ht="13.5" thickBot="1">
      <c r="B67" s="85" t="s">
        <v>121</v>
      </c>
      <c r="F67" s="266"/>
      <c r="G67" s="266"/>
      <c r="H67" s="266"/>
      <c r="I67" s="266"/>
      <c r="J67" s="266"/>
    </row>
    <row r="68" spans="1:10" ht="13.5" thickBot="1">
      <c r="A68" s="69" t="s">
        <v>671</v>
      </c>
      <c r="B68" s="214">
        <v>1.5</v>
      </c>
      <c r="C68" t="s">
        <v>563</v>
      </c>
      <c r="F68" s="266"/>
      <c r="G68" s="266"/>
      <c r="H68" s="266"/>
      <c r="I68" s="266"/>
      <c r="J68" s="266"/>
    </row>
    <row r="69" spans="1:10">
      <c r="A69" s="69" t="s">
        <v>672</v>
      </c>
      <c r="B69" s="166"/>
      <c r="F69" s="266"/>
      <c r="G69" s="266"/>
      <c r="H69" s="266"/>
      <c r="I69" s="266"/>
      <c r="J69" s="266"/>
    </row>
    <row r="70" spans="1:10">
      <c r="B70" s="85"/>
      <c r="F70" s="266"/>
      <c r="G70" s="266"/>
      <c r="H70" s="266"/>
      <c r="I70" s="266"/>
      <c r="J70" s="266"/>
    </row>
    <row r="71" spans="1:10">
      <c r="A71" s="46" t="s">
        <v>272</v>
      </c>
      <c r="B71" s="47"/>
      <c r="F71" s="266"/>
      <c r="G71" s="266"/>
      <c r="H71" s="266"/>
      <c r="I71" s="266"/>
      <c r="J71" s="266"/>
    </row>
    <row r="72" spans="1:10">
      <c r="A72" s="54" t="s">
        <v>706</v>
      </c>
      <c r="B72" s="62"/>
      <c r="C72" s="25"/>
      <c r="D72" s="25"/>
      <c r="F72" s="266"/>
      <c r="G72" s="266"/>
      <c r="H72" s="266"/>
      <c r="I72" s="266"/>
      <c r="J72" s="266"/>
    </row>
    <row r="73" spans="1:10">
      <c r="A73" s="54"/>
      <c r="B73" s="64"/>
      <c r="C73" s="25"/>
      <c r="D73" s="25"/>
      <c r="F73" s="266"/>
      <c r="G73" s="266"/>
      <c r="H73" s="266"/>
      <c r="I73" s="266"/>
      <c r="J73" s="266"/>
    </row>
    <row r="74" spans="1:10">
      <c r="A74" s="54"/>
      <c r="B74" s="85" t="s">
        <v>121</v>
      </c>
      <c r="D74" s="25"/>
      <c r="F74" s="266"/>
      <c r="G74" s="266"/>
      <c r="H74" s="266"/>
      <c r="I74" s="266"/>
      <c r="J74" s="266"/>
    </row>
    <row r="75" spans="1:10" ht="13.5" thickBot="1">
      <c r="A75" s="69" t="s">
        <v>684</v>
      </c>
      <c r="B75" s="143">
        <f>B50</f>
        <v>80000</v>
      </c>
      <c r="C75" s="59" t="s">
        <v>42</v>
      </c>
      <c r="D75" s="59" t="s">
        <v>54</v>
      </c>
      <c r="E75" t="s">
        <v>54</v>
      </c>
      <c r="F75" s="266"/>
      <c r="G75" s="266"/>
      <c r="H75" s="266"/>
      <c r="I75" s="266"/>
      <c r="J75" s="266"/>
    </row>
    <row r="76" spans="1:10" ht="13.5" thickBot="1">
      <c r="A76" s="69" t="s">
        <v>685</v>
      </c>
      <c r="B76" s="214">
        <v>0.08</v>
      </c>
      <c r="C76" s="41" t="s">
        <v>563</v>
      </c>
      <c r="D76" s="59"/>
      <c r="F76" s="266"/>
      <c r="G76" s="266"/>
      <c r="H76" s="266"/>
      <c r="I76" s="266"/>
      <c r="J76" s="266"/>
    </row>
    <row r="77" spans="1:10">
      <c r="B77" s="85" t="s">
        <v>447</v>
      </c>
      <c r="F77" s="266"/>
      <c r="G77" s="266"/>
      <c r="H77" s="266"/>
      <c r="I77" s="266"/>
      <c r="J77" s="266"/>
    </row>
    <row r="78" spans="1:10">
      <c r="A78" s="54" t="s">
        <v>134</v>
      </c>
      <c r="B78" s="64" t="s">
        <v>293</v>
      </c>
      <c r="D78" s="25"/>
      <c r="F78" s="266"/>
      <c r="G78" s="266"/>
      <c r="H78" s="266"/>
      <c r="I78" s="266"/>
      <c r="J78" s="266"/>
    </row>
    <row r="79" spans="1:10">
      <c r="A79" s="54" t="s">
        <v>134</v>
      </c>
      <c r="B79" s="71">
        <f>1/(1+B76/B47^0.5)</f>
        <v>0.81547832000453702</v>
      </c>
      <c r="C79" s="25" t="s">
        <v>563</v>
      </c>
      <c r="D79" s="25"/>
      <c r="F79" s="266"/>
      <c r="G79" s="266"/>
      <c r="H79" s="266"/>
      <c r="I79" s="266"/>
      <c r="J79" s="266"/>
    </row>
    <row r="80" spans="1:10">
      <c r="A80" s="46" t="s">
        <v>295</v>
      </c>
      <c r="B80" s="62"/>
      <c r="C80" s="25"/>
      <c r="D80" s="25"/>
      <c r="F80" s="266"/>
      <c r="G80" s="266"/>
      <c r="H80" s="266"/>
      <c r="I80" s="266"/>
      <c r="J80" s="266"/>
    </row>
    <row r="81" spans="1:10">
      <c r="A81" s="54" t="s">
        <v>296</v>
      </c>
      <c r="B81" s="64" t="s">
        <v>297</v>
      </c>
      <c r="C81" s="25"/>
      <c r="D81" s="25"/>
      <c r="F81" s="266"/>
      <c r="G81" s="266"/>
      <c r="H81" s="266"/>
      <c r="I81" s="266"/>
      <c r="J81" s="266"/>
    </row>
    <row r="82" spans="1:10">
      <c r="A82" s="54" t="s">
        <v>296</v>
      </c>
      <c r="B82" s="64">
        <f>1+B79*(B68-1)</f>
        <v>1.4077391600022686</v>
      </c>
      <c r="C82" s="25" t="s">
        <v>563</v>
      </c>
      <c r="D82" s="25"/>
      <c r="F82" s="266"/>
      <c r="G82" s="266"/>
      <c r="H82" s="266"/>
      <c r="I82" s="266"/>
      <c r="J82" s="266"/>
    </row>
    <row r="83" spans="1:10">
      <c r="A83" s="49"/>
      <c r="B83" s="47"/>
      <c r="F83" s="266"/>
      <c r="G83" s="266"/>
      <c r="H83" s="266"/>
      <c r="I83" s="266"/>
      <c r="J83" s="266"/>
    </row>
    <row r="84" spans="1:10">
      <c r="A84" s="54" t="s">
        <v>298</v>
      </c>
      <c r="B84" s="64" t="s">
        <v>299</v>
      </c>
      <c r="F84" s="266"/>
      <c r="G84" s="266"/>
      <c r="H84" s="266"/>
      <c r="I84" s="266"/>
      <c r="J84" s="266"/>
    </row>
    <row r="85" spans="1:10">
      <c r="A85" s="54" t="s">
        <v>683</v>
      </c>
      <c r="B85" s="63">
        <f>B82*B62</f>
        <v>43245.746995269692</v>
      </c>
      <c r="C85" s="25" t="s">
        <v>42</v>
      </c>
      <c r="F85" s="266"/>
      <c r="G85" s="266"/>
      <c r="H85" s="266"/>
      <c r="I85" s="266"/>
      <c r="J85" s="266"/>
    </row>
    <row r="86" spans="1:10">
      <c r="A86" s="54"/>
      <c r="B86" s="62"/>
      <c r="F86" s="266"/>
      <c r="G86" s="266"/>
      <c r="H86" s="266"/>
      <c r="I86" s="266"/>
      <c r="J86" s="266"/>
    </row>
    <row r="87" spans="1:10">
      <c r="A87" s="54" t="s">
        <v>300</v>
      </c>
      <c r="B87" s="62"/>
      <c r="F87" s="266"/>
      <c r="G87" s="266"/>
      <c r="H87" s="266"/>
      <c r="I87" s="266"/>
      <c r="J87" s="266"/>
    </row>
    <row r="88" spans="1:10">
      <c r="A88" s="54" t="s">
        <v>301</v>
      </c>
      <c r="B88" s="64" t="s">
        <v>302</v>
      </c>
      <c r="F88" s="266"/>
      <c r="G88" s="266"/>
      <c r="H88" s="266"/>
      <c r="I88" s="266"/>
      <c r="J88" s="266"/>
    </row>
    <row r="89" spans="1:10">
      <c r="A89" s="54" t="s">
        <v>74</v>
      </c>
      <c r="B89" s="63">
        <f>0.5*B50</f>
        <v>40000</v>
      </c>
      <c r="C89" s="25" t="s">
        <v>42</v>
      </c>
      <c r="F89" s="266"/>
      <c r="G89" s="266"/>
      <c r="H89" s="266"/>
      <c r="I89" s="266"/>
      <c r="J89" s="266"/>
    </row>
    <row r="90" spans="1:10">
      <c r="A90" s="54"/>
      <c r="B90" s="62"/>
      <c r="C90" s="25"/>
      <c r="F90" s="266"/>
      <c r="G90" s="266"/>
      <c r="H90" s="266"/>
      <c r="I90" s="266"/>
      <c r="J90" s="266"/>
    </row>
    <row r="91" spans="1:10">
      <c r="A91" s="54" t="s">
        <v>303</v>
      </c>
      <c r="B91" s="64" t="s">
        <v>82</v>
      </c>
      <c r="C91" s="25"/>
      <c r="D91" t="s">
        <v>304</v>
      </c>
      <c r="F91" s="266"/>
      <c r="G91" s="266"/>
      <c r="H91" s="266"/>
      <c r="I91" s="266"/>
      <c r="J91" s="266"/>
    </row>
    <row r="92" spans="1:10">
      <c r="A92" s="54" t="s">
        <v>430</v>
      </c>
      <c r="B92" s="64" t="s">
        <v>305</v>
      </c>
      <c r="C92" s="25"/>
      <c r="D92" s="49" t="s">
        <v>132</v>
      </c>
      <c r="E92" s="47">
        <f>B45</f>
        <v>1.25</v>
      </c>
      <c r="F92" s="266"/>
      <c r="G92" s="266"/>
      <c r="H92" s="266"/>
      <c r="I92" s="266"/>
      <c r="J92" s="266"/>
    </row>
    <row r="93" spans="1:10">
      <c r="A93" s="54" t="s">
        <v>65</v>
      </c>
      <c r="B93" s="64">
        <f>0.05*B45*B44</f>
        <v>3.125E-2</v>
      </c>
      <c r="C93" s="25" t="s">
        <v>269</v>
      </c>
      <c r="D93" s="49" t="s">
        <v>27</v>
      </c>
      <c r="E93" s="47">
        <f>B44</f>
        <v>0.5</v>
      </c>
      <c r="F93" s="266"/>
      <c r="G93" s="266"/>
      <c r="H93" s="266"/>
      <c r="I93" s="266"/>
      <c r="J93" s="266"/>
    </row>
    <row r="94" spans="1:10">
      <c r="A94" s="54"/>
      <c r="B94" s="62"/>
      <c r="C94" s="25"/>
      <c r="F94" s="266"/>
      <c r="G94" s="266"/>
      <c r="H94" s="266"/>
      <c r="I94" s="266"/>
      <c r="J94" s="266"/>
    </row>
    <row r="95" spans="1:10">
      <c r="A95" s="54" t="s">
        <v>306</v>
      </c>
      <c r="B95" s="71">
        <f>(B93/0.0766)^0.5</f>
        <v>0.63872016288449496</v>
      </c>
      <c r="C95" s="25" t="s">
        <v>30</v>
      </c>
      <c r="F95" s="266"/>
      <c r="G95" s="266"/>
      <c r="H95" s="266"/>
      <c r="I95" s="266"/>
      <c r="J95" s="266"/>
    </row>
    <row r="96" spans="1:10">
      <c r="A96" s="54" t="s">
        <v>307</v>
      </c>
      <c r="B96" s="64" t="s">
        <v>308</v>
      </c>
      <c r="C96" s="25"/>
      <c r="F96" s="266"/>
      <c r="G96" s="266"/>
      <c r="H96" s="266"/>
      <c r="I96" s="266"/>
      <c r="J96" s="266"/>
    </row>
    <row r="97" spans="1:10">
      <c r="A97" s="54" t="s">
        <v>31</v>
      </c>
      <c r="B97" s="71">
        <f>0.869*B95^-0.097</f>
        <v>0.90762122977201121</v>
      </c>
      <c r="C97" s="25"/>
      <c r="F97" s="266"/>
      <c r="G97" s="266"/>
      <c r="H97" s="266"/>
      <c r="I97" s="266"/>
      <c r="J97" s="266"/>
    </row>
    <row r="98" spans="1:10">
      <c r="A98" s="49"/>
      <c r="B98" s="47"/>
      <c r="F98" s="266"/>
      <c r="G98" s="266"/>
      <c r="H98" s="266"/>
      <c r="I98" s="266"/>
      <c r="J98" s="266"/>
    </row>
    <row r="99" spans="1:10">
      <c r="F99" s="266"/>
      <c r="G99" s="266"/>
      <c r="H99" s="266"/>
      <c r="I99" s="266"/>
      <c r="J99" s="266"/>
    </row>
    <row r="100" spans="1:10">
      <c r="F100" s="266"/>
      <c r="G100" s="266"/>
      <c r="H100" s="266"/>
      <c r="I100" s="266"/>
      <c r="J100" s="266"/>
    </row>
    <row r="101" spans="1:10" ht="13.5" thickBot="1">
      <c r="A101" s="54" t="s">
        <v>707</v>
      </c>
      <c r="B101" s="85" t="s">
        <v>121</v>
      </c>
      <c r="F101" s="266"/>
      <c r="G101" s="266"/>
      <c r="H101" s="266"/>
      <c r="I101" s="266"/>
      <c r="J101" s="266"/>
    </row>
    <row r="102" spans="1:10" ht="13.5" thickBot="1">
      <c r="A102" s="69" t="s">
        <v>673</v>
      </c>
      <c r="B102" s="214">
        <v>1</v>
      </c>
      <c r="C102" s="25"/>
      <c r="F102" s="266"/>
      <c r="G102" s="266"/>
      <c r="H102" s="266"/>
      <c r="I102" s="266"/>
      <c r="J102" s="266"/>
    </row>
    <row r="103" spans="1:10">
      <c r="A103" s="54"/>
      <c r="C103" s="25"/>
      <c r="E103" s="51" t="s">
        <v>1</v>
      </c>
      <c r="F103" s="266"/>
      <c r="G103" s="266"/>
      <c r="H103" s="266"/>
      <c r="I103" s="266"/>
      <c r="J103" s="266"/>
    </row>
    <row r="104" spans="1:10" ht="13.5" thickBot="1">
      <c r="B104" s="85" t="s">
        <v>121</v>
      </c>
      <c r="C104" s="25"/>
      <c r="F104" s="266"/>
      <c r="G104" s="266"/>
      <c r="H104" s="266"/>
      <c r="I104" s="266"/>
      <c r="J104" s="266"/>
    </row>
    <row r="105" spans="1:10">
      <c r="A105" s="69" t="s">
        <v>676</v>
      </c>
      <c r="B105" s="212">
        <v>2.7</v>
      </c>
      <c r="C105" s="25"/>
      <c r="F105" s="266"/>
      <c r="G105" s="266"/>
      <c r="H105" s="266"/>
      <c r="I105" s="266"/>
      <c r="J105" s="266"/>
    </row>
    <row r="106" spans="1:10" ht="13.5" thickBot="1">
      <c r="A106" s="69" t="s">
        <v>677</v>
      </c>
      <c r="B106" s="205">
        <v>-0.26500000000000001</v>
      </c>
      <c r="C106" s="25"/>
      <c r="F106" s="266"/>
      <c r="G106" s="266"/>
      <c r="H106" s="266"/>
      <c r="I106" s="266"/>
      <c r="J106" s="266"/>
    </row>
    <row r="107" spans="1:10">
      <c r="B107" s="85" t="s">
        <v>447</v>
      </c>
      <c r="F107" s="266"/>
      <c r="G107" s="266"/>
      <c r="H107" s="266"/>
      <c r="I107" s="266"/>
      <c r="J107" s="266"/>
    </row>
    <row r="108" spans="1:10">
      <c r="A108" s="91" t="s">
        <v>597</v>
      </c>
      <c r="B108" s="92" t="s">
        <v>679</v>
      </c>
      <c r="C108" t="s">
        <v>678</v>
      </c>
      <c r="F108" s="266"/>
      <c r="G108" s="266"/>
      <c r="H108" s="266"/>
      <c r="I108" s="266"/>
      <c r="J108" s="266"/>
    </row>
    <row r="109" spans="1:10">
      <c r="A109" s="54" t="s">
        <v>28</v>
      </c>
      <c r="B109" s="71">
        <f>B105*(B50/1000)^B106</f>
        <v>0.84536627400713482</v>
      </c>
      <c r="F109" s="266"/>
      <c r="G109" s="266"/>
      <c r="H109" s="266"/>
      <c r="I109" s="266"/>
      <c r="J109" s="266"/>
    </row>
    <row r="110" spans="1:10" ht="13.5" thickBot="1">
      <c r="A110" s="54"/>
      <c r="B110" s="85" t="s">
        <v>121</v>
      </c>
      <c r="C110" s="25"/>
      <c r="F110" s="266"/>
      <c r="G110" s="266"/>
      <c r="H110" s="266"/>
      <c r="I110" s="266"/>
      <c r="J110" s="266"/>
    </row>
    <row r="111" spans="1:10" ht="13.5" thickBot="1">
      <c r="A111" s="69" t="s">
        <v>674</v>
      </c>
      <c r="B111" s="203">
        <v>0.82599999999999996</v>
      </c>
      <c r="C111" s="25"/>
      <c r="F111" s="266">
        <v>1</v>
      </c>
      <c r="G111" s="266"/>
      <c r="H111" s="266"/>
      <c r="I111" s="266"/>
      <c r="J111" s="266"/>
    </row>
    <row r="112" spans="1:10">
      <c r="C112" s="25"/>
      <c r="F112" s="266"/>
      <c r="G112" s="266"/>
      <c r="H112" s="266"/>
      <c r="I112" s="266"/>
      <c r="J112" s="266"/>
    </row>
    <row r="113" spans="1:10">
      <c r="A113" s="54" t="s">
        <v>681</v>
      </c>
      <c r="B113" s="64">
        <f>B52</f>
        <v>99.9</v>
      </c>
      <c r="F113" s="266"/>
      <c r="G113" s="266"/>
      <c r="H113" s="266"/>
      <c r="I113" s="266"/>
      <c r="J113" s="266"/>
    </row>
    <row r="114" spans="1:10" ht="13.5" thickBot="1">
      <c r="B114" s="85" t="s">
        <v>121</v>
      </c>
      <c r="C114" s="25"/>
      <c r="F114" s="266"/>
      <c r="G114" s="266"/>
      <c r="H114" s="266" t="s">
        <v>715</v>
      </c>
      <c r="I114" s="266"/>
      <c r="J114" s="266"/>
    </row>
    <row r="115" spans="1:10" ht="13.5" thickBot="1">
      <c r="A115" s="69" t="s">
        <v>675</v>
      </c>
      <c r="B115" s="203">
        <v>0.753</v>
      </c>
      <c r="F115" s="266"/>
      <c r="G115" s="266">
        <v>0.753</v>
      </c>
      <c r="H115" s="266">
        <v>0.70199999999999996</v>
      </c>
      <c r="I115" s="266"/>
      <c r="J115" s="266"/>
    </row>
    <row r="116" spans="1:10">
      <c r="F116" s="266"/>
      <c r="G116" s="266"/>
      <c r="H116" s="266"/>
      <c r="I116" s="266"/>
      <c r="J116" s="266"/>
    </row>
    <row r="117" spans="1:10">
      <c r="A117" s="46" t="s">
        <v>311</v>
      </c>
      <c r="B117" s="62"/>
      <c r="C117" s="25"/>
      <c r="F117" s="266"/>
      <c r="G117" s="266"/>
      <c r="H117" s="266"/>
      <c r="I117" s="266"/>
      <c r="J117" s="266"/>
    </row>
    <row r="118" spans="1:10">
      <c r="A118" s="54" t="s">
        <v>431</v>
      </c>
      <c r="B118" s="64" t="s">
        <v>10</v>
      </c>
      <c r="C118" s="25"/>
      <c r="F118" s="266"/>
      <c r="G118" s="266"/>
      <c r="H118" s="266"/>
      <c r="I118" s="266"/>
      <c r="J118" s="266"/>
    </row>
    <row r="119" spans="1:10">
      <c r="A119" s="54" t="s">
        <v>312</v>
      </c>
      <c r="B119" s="63">
        <f>B102*B97*B109*B111*B115*B89</f>
        <v>19089.061545594854</v>
      </c>
      <c r="C119" s="25" t="s">
        <v>42</v>
      </c>
      <c r="F119" s="266"/>
      <c r="G119" s="266"/>
      <c r="H119" s="266"/>
      <c r="I119" s="266"/>
      <c r="J119" s="266"/>
    </row>
    <row r="120" spans="1:10">
      <c r="A120" s="49"/>
      <c r="B120" s="47"/>
      <c r="F120" s="266"/>
      <c r="G120" s="266"/>
      <c r="H120" s="266"/>
      <c r="I120" s="266"/>
      <c r="J120" s="266"/>
    </row>
    <row r="121" spans="1:10">
      <c r="A121" s="54" t="s">
        <v>313</v>
      </c>
      <c r="B121" s="62"/>
      <c r="F121" s="266"/>
      <c r="G121" s="266"/>
      <c r="H121" s="266"/>
      <c r="I121" s="266"/>
      <c r="J121" s="266"/>
    </row>
    <row r="122" spans="1:10">
      <c r="A122" s="54" t="s">
        <v>314</v>
      </c>
      <c r="B122" s="64" t="s">
        <v>315</v>
      </c>
      <c r="F122" s="266"/>
      <c r="G122" s="266"/>
      <c r="H122" s="266"/>
      <c r="I122" s="266"/>
      <c r="J122" s="266"/>
    </row>
    <row r="123" spans="1:10">
      <c r="A123" s="54" t="s">
        <v>316</v>
      </c>
      <c r="B123" s="144">
        <f>B119/B85</f>
        <v>0.44140899098546854</v>
      </c>
      <c r="C123" t="s">
        <v>323</v>
      </c>
      <c r="F123" s="266"/>
      <c r="G123" s="266"/>
      <c r="H123" s="266"/>
      <c r="I123" s="266"/>
      <c r="J123" s="266"/>
    </row>
    <row r="124" spans="1:10">
      <c r="A124" s="49"/>
      <c r="B124" s="52"/>
      <c r="F124" s="266"/>
      <c r="G124" s="266"/>
      <c r="H124" s="266"/>
      <c r="I124" s="266"/>
      <c r="J124" s="266"/>
    </row>
    <row r="125" spans="1:10">
      <c r="A125" s="54" t="s">
        <v>98</v>
      </c>
      <c r="B125" s="64">
        <f>B48</f>
        <v>20</v>
      </c>
      <c r="C125" t="s">
        <v>294</v>
      </c>
      <c r="F125" s="266"/>
      <c r="G125" s="266"/>
      <c r="H125" s="266"/>
      <c r="I125" s="266"/>
      <c r="J125" s="266"/>
    </row>
    <row r="126" spans="1:10">
      <c r="A126" s="54" t="s">
        <v>317</v>
      </c>
      <c r="B126" s="64">
        <f>B49</f>
        <v>20</v>
      </c>
      <c r="C126" t="s">
        <v>294</v>
      </c>
      <c r="F126" s="266"/>
      <c r="G126" s="266"/>
      <c r="H126" s="266"/>
      <c r="I126" s="266"/>
      <c r="J126" s="266"/>
    </row>
    <row r="127" spans="1:10">
      <c r="A127" s="54" t="s">
        <v>318</v>
      </c>
      <c r="B127" s="64" t="s">
        <v>319</v>
      </c>
      <c r="F127" s="266"/>
      <c r="G127" s="266"/>
      <c r="H127" s="266"/>
      <c r="I127" s="266"/>
      <c r="J127" s="266"/>
    </row>
    <row r="128" spans="1:10">
      <c r="A128" s="54" t="s">
        <v>320</v>
      </c>
      <c r="B128" s="71">
        <f>(B43/(6*B51*B58))*(B126^3-3*B125*B126^2-(B126-B125)^3)</f>
        <v>-0.21845333333333333</v>
      </c>
      <c r="C128" s="25" t="s">
        <v>30</v>
      </c>
      <c r="F128" s="266"/>
      <c r="G128" s="266"/>
      <c r="H128" s="266"/>
      <c r="I128" s="266"/>
      <c r="J128" s="266"/>
    </row>
    <row r="129" spans="1:10">
      <c r="F129" s="266"/>
      <c r="G129" s="266"/>
      <c r="H129" s="266"/>
      <c r="I129" s="266"/>
      <c r="J129" s="266"/>
    </row>
    <row r="130" spans="1:10">
      <c r="F130" s="266"/>
      <c r="G130" s="266"/>
      <c r="H130" s="266"/>
      <c r="I130" s="266"/>
      <c r="J130" s="266"/>
    </row>
    <row r="131" spans="1:10">
      <c r="F131" s="266"/>
      <c r="G131" s="266"/>
      <c r="H131" s="266"/>
      <c r="I131" s="266"/>
      <c r="J131" s="266"/>
    </row>
    <row r="132" spans="1:10" ht="15">
      <c r="A132" s="127" t="s">
        <v>153</v>
      </c>
      <c r="B132" s="128"/>
      <c r="C132" s="128"/>
      <c r="D132" s="128"/>
      <c r="F132" s="266"/>
      <c r="G132" s="266"/>
      <c r="H132" s="266"/>
      <c r="I132" s="266"/>
      <c r="J132" s="266"/>
    </row>
    <row r="133" spans="1:10" ht="15.75">
      <c r="A133" s="129" t="s">
        <v>154</v>
      </c>
      <c r="B133" s="128"/>
      <c r="C133" s="128"/>
      <c r="D133" s="128"/>
      <c r="F133" s="266"/>
      <c r="G133" s="266"/>
      <c r="H133" s="266"/>
      <c r="I133" s="266"/>
      <c r="J133" s="266"/>
    </row>
    <row r="134" spans="1:10" ht="15">
      <c r="A134" s="128" t="s">
        <v>155</v>
      </c>
      <c r="B134" s="128"/>
      <c r="C134" s="128"/>
      <c r="D134" s="128"/>
      <c r="F134" s="266"/>
      <c r="G134" s="266"/>
      <c r="H134" s="266"/>
      <c r="I134" s="266"/>
      <c r="J134" s="266"/>
    </row>
    <row r="135" spans="1:10" ht="15.75">
      <c r="A135" s="129" t="s">
        <v>156</v>
      </c>
      <c r="B135" s="128"/>
      <c r="C135" s="128"/>
      <c r="D135" s="128"/>
      <c r="F135" s="266"/>
      <c r="G135" s="266"/>
      <c r="H135" s="266"/>
      <c r="I135" s="266"/>
      <c r="J135" s="266"/>
    </row>
    <row r="136" spans="1:10">
      <c r="F136" s="266"/>
      <c r="G136" s="266"/>
      <c r="H136" s="266"/>
      <c r="I136" s="266"/>
      <c r="J136" s="266"/>
    </row>
    <row r="137" spans="1:10">
      <c r="F137" s="266"/>
      <c r="G137" s="266"/>
      <c r="H137" s="266"/>
      <c r="I137" s="266"/>
      <c r="J137" s="266"/>
    </row>
    <row r="138" spans="1:10">
      <c r="F138" s="266"/>
      <c r="G138" s="266"/>
      <c r="H138" s="266"/>
      <c r="I138" s="266"/>
      <c r="J138" s="266"/>
    </row>
    <row r="139" spans="1:10">
      <c r="F139" s="266"/>
      <c r="G139" s="266"/>
      <c r="H139" s="266"/>
      <c r="I139" s="266"/>
      <c r="J139" s="266"/>
    </row>
    <row r="140" spans="1:10">
      <c r="F140" s="266"/>
      <c r="G140" s="266"/>
      <c r="H140" s="266"/>
      <c r="I140" s="266"/>
      <c r="J140" s="266"/>
    </row>
    <row r="141" spans="1:10">
      <c r="F141" s="266"/>
      <c r="G141" s="266"/>
      <c r="H141" s="266"/>
      <c r="I141" s="266"/>
      <c r="J141" s="266"/>
    </row>
    <row r="142" spans="1:10">
      <c r="F142" s="266"/>
      <c r="G142" s="266"/>
      <c r="H142" s="266"/>
      <c r="I142" s="266"/>
      <c r="J142" s="266"/>
    </row>
    <row r="143" spans="1:10">
      <c r="F143" s="266"/>
      <c r="G143" s="266"/>
      <c r="H143" s="266"/>
      <c r="I143" s="266"/>
      <c r="J143" s="266"/>
    </row>
    <row r="144" spans="1:10">
      <c r="F144" s="266"/>
      <c r="G144" s="266"/>
      <c r="H144" s="266"/>
      <c r="I144" s="266"/>
      <c r="J144" s="266"/>
    </row>
    <row r="145" spans="1:10">
      <c r="F145" s="266"/>
      <c r="G145" s="266"/>
      <c r="H145" s="266"/>
      <c r="I145" s="266"/>
      <c r="J145" s="266"/>
    </row>
    <row r="146" spans="1:10">
      <c r="F146" s="266"/>
      <c r="G146" s="266"/>
      <c r="H146" s="266"/>
      <c r="I146" s="266"/>
      <c r="J146" s="266"/>
    </row>
    <row r="147" spans="1:10">
      <c r="F147" s="266"/>
      <c r="G147" s="266"/>
      <c r="H147" s="266"/>
      <c r="I147" s="266"/>
      <c r="J147" s="266"/>
    </row>
    <row r="148" spans="1:10">
      <c r="F148" s="266"/>
      <c r="G148" s="266"/>
      <c r="H148" s="266"/>
      <c r="I148" s="266"/>
      <c r="J148" s="266"/>
    </row>
    <row r="149" spans="1:10">
      <c r="F149" s="266"/>
      <c r="G149" s="266"/>
      <c r="H149" s="266"/>
      <c r="I149" s="266"/>
      <c r="J149" s="266"/>
    </row>
    <row r="150" spans="1:10">
      <c r="F150" s="266"/>
      <c r="G150" s="266"/>
      <c r="H150" s="266"/>
      <c r="I150" s="266"/>
      <c r="J150" s="266"/>
    </row>
    <row r="151" spans="1:10">
      <c r="F151" s="266"/>
      <c r="G151" s="266"/>
      <c r="H151" s="266"/>
      <c r="I151" s="266"/>
      <c r="J151" s="266"/>
    </row>
    <row r="152" spans="1:10">
      <c r="F152" s="266"/>
      <c r="G152" s="266"/>
      <c r="H152" s="266"/>
      <c r="I152" s="266"/>
      <c r="J152" s="266"/>
    </row>
    <row r="153" spans="1:10">
      <c r="F153" s="266"/>
      <c r="G153" s="266"/>
      <c r="H153" s="266"/>
      <c r="I153" s="266"/>
      <c r="J153" s="266"/>
    </row>
    <row r="154" spans="1:10">
      <c r="E154" s="51" t="s">
        <v>2</v>
      </c>
      <c r="F154" s="266"/>
      <c r="G154" s="266"/>
      <c r="H154" s="266"/>
      <c r="I154" s="266"/>
      <c r="J154" s="266"/>
    </row>
    <row r="157" spans="1:10" ht="15">
      <c r="A157" s="3"/>
      <c r="B157" s="2"/>
      <c r="C157" s="2"/>
      <c r="D157" s="2"/>
    </row>
    <row r="158" spans="1:10" ht="15">
      <c r="A158" s="3"/>
      <c r="B158" s="2"/>
      <c r="C158" s="2"/>
      <c r="D158" s="2"/>
    </row>
    <row r="159" spans="1:10" ht="15">
      <c r="A159" s="3"/>
      <c r="B159" s="2"/>
      <c r="C159" s="2"/>
      <c r="D159" s="2"/>
    </row>
    <row r="160" spans="1:10" ht="15">
      <c r="A160" s="3"/>
      <c r="B160" s="2"/>
      <c r="C160" s="2"/>
      <c r="D160" s="2"/>
    </row>
    <row r="161" spans="1:4" ht="15">
      <c r="A161" s="3"/>
      <c r="B161" s="2"/>
      <c r="C161" s="2"/>
      <c r="D161" s="2"/>
    </row>
    <row r="162" spans="1:4" ht="15">
      <c r="A162" s="3"/>
      <c r="B162" s="2"/>
      <c r="C162" s="2"/>
      <c r="D162" s="2"/>
    </row>
    <row r="163" spans="1:4" ht="15">
      <c r="A163" s="3"/>
      <c r="B163" s="2"/>
      <c r="C163" s="2"/>
      <c r="D163" s="2"/>
    </row>
    <row r="164" spans="1:4" ht="15">
      <c r="A164" s="3"/>
      <c r="B164" s="2"/>
      <c r="C164" s="2"/>
      <c r="D164" s="2"/>
    </row>
    <row r="165" spans="1:4" ht="15">
      <c r="A165" s="3"/>
      <c r="B165" s="2"/>
      <c r="C165" s="2"/>
      <c r="D165" s="2"/>
    </row>
    <row r="166" spans="1:4" ht="15">
      <c r="A166" s="3"/>
      <c r="B166" s="2"/>
      <c r="C166" s="2"/>
      <c r="D166" s="2"/>
    </row>
    <row r="167" spans="1:4" ht="15">
      <c r="A167" s="3"/>
      <c r="B167" s="2"/>
      <c r="C167" s="2"/>
      <c r="D167" s="2"/>
    </row>
    <row r="168" spans="1:4" ht="15">
      <c r="A168" s="3"/>
      <c r="B168" s="2"/>
      <c r="C168" s="2"/>
      <c r="D168" s="2"/>
    </row>
    <row r="169" spans="1:4" ht="15">
      <c r="A169" s="3"/>
      <c r="B169" s="2"/>
      <c r="C169" s="2"/>
      <c r="D169" s="2"/>
    </row>
    <row r="170" spans="1:4" ht="15">
      <c r="A170" s="3"/>
      <c r="B170" s="2"/>
      <c r="C170" s="2"/>
      <c r="D170" s="2"/>
    </row>
    <row r="171" spans="1:4" ht="15">
      <c r="A171" s="3"/>
      <c r="B171" s="2"/>
      <c r="C171" s="2"/>
      <c r="D171" s="2"/>
    </row>
    <row r="172" spans="1:4" ht="15">
      <c r="A172" s="8"/>
      <c r="B172" s="2"/>
      <c r="C172" s="2"/>
      <c r="D172" s="2"/>
    </row>
    <row r="173" spans="1:4" ht="15">
      <c r="A173" s="3"/>
      <c r="B173" s="6"/>
      <c r="C173" s="2"/>
      <c r="D173" s="2"/>
    </row>
    <row r="174" spans="1:4" ht="15">
      <c r="A174" s="3"/>
      <c r="B174" s="2"/>
      <c r="C174" s="2"/>
      <c r="D174" s="2"/>
    </row>
    <row r="175" spans="1:4" ht="15">
      <c r="A175" s="3"/>
      <c r="B175" s="6"/>
      <c r="C175" s="2"/>
      <c r="D175" s="2"/>
    </row>
    <row r="176" spans="1:4" ht="15.75">
      <c r="A176" s="3"/>
      <c r="B176" s="2"/>
      <c r="C176" s="2"/>
      <c r="D176" s="1"/>
    </row>
    <row r="177" spans="1:4" ht="15">
      <c r="A177" s="8"/>
      <c r="B177" s="2"/>
      <c r="C177" s="2"/>
      <c r="D177" s="2"/>
    </row>
    <row r="178" spans="1:4" ht="15">
      <c r="A178" s="3"/>
      <c r="B178" s="10"/>
      <c r="C178" s="2"/>
      <c r="D178" s="2"/>
    </row>
    <row r="179" spans="1:4" ht="15">
      <c r="A179" s="8"/>
      <c r="B179" s="6"/>
      <c r="C179" s="2"/>
      <c r="D179" s="2"/>
    </row>
    <row r="180" spans="1:4" ht="15">
      <c r="A180" s="8"/>
      <c r="B180" s="6"/>
      <c r="C180" s="2"/>
      <c r="D180" s="2"/>
    </row>
    <row r="181" spans="1:4" ht="15">
      <c r="A181" s="3"/>
      <c r="B181" s="6"/>
      <c r="C181" s="2"/>
      <c r="D181" s="2"/>
    </row>
    <row r="182" spans="1:4" ht="15">
      <c r="A182" s="3"/>
      <c r="B182" s="6"/>
      <c r="C182" s="2"/>
      <c r="D182" s="2"/>
    </row>
    <row r="183" spans="1:4" ht="15">
      <c r="A183" s="3"/>
      <c r="B183" s="6"/>
      <c r="C183" s="2"/>
      <c r="D183" s="2"/>
    </row>
    <row r="184" spans="1:4" ht="15">
      <c r="A184" s="3"/>
      <c r="B184" s="6"/>
      <c r="C184" s="2"/>
      <c r="D184" s="2"/>
    </row>
    <row r="185" spans="1:4" ht="15">
      <c r="A185" s="3"/>
      <c r="B185" s="6"/>
      <c r="C185" s="2"/>
      <c r="D185" s="2"/>
    </row>
    <row r="186" spans="1:4" ht="15">
      <c r="A186" s="3"/>
      <c r="B186" s="6"/>
      <c r="C186" s="2"/>
      <c r="D186" s="2"/>
    </row>
    <row r="187" spans="1:4" ht="15">
      <c r="A187" s="3"/>
      <c r="B187" s="10"/>
      <c r="C187" s="2"/>
      <c r="D187" s="2"/>
    </row>
    <row r="188" spans="1:4" ht="15">
      <c r="A188" s="3"/>
      <c r="B188" s="6"/>
      <c r="C188" s="2"/>
      <c r="D188" s="2"/>
    </row>
    <row r="189" spans="1:4" ht="15">
      <c r="A189" s="3"/>
      <c r="B189" s="6"/>
      <c r="C189" s="2"/>
      <c r="D189" s="2"/>
    </row>
    <row r="190" spans="1:4" ht="15">
      <c r="A190" s="3"/>
      <c r="B190" s="4"/>
      <c r="C190" s="2"/>
      <c r="D190" s="2"/>
    </row>
    <row r="191" spans="1:4" ht="15">
      <c r="A191" s="3"/>
      <c r="B191" s="4"/>
      <c r="C191" s="2"/>
      <c r="D191" s="2"/>
    </row>
    <row r="192" spans="1:4" ht="15">
      <c r="A192" s="8"/>
      <c r="B192" s="4"/>
      <c r="C192" s="2"/>
      <c r="D192" s="2"/>
    </row>
    <row r="193" spans="1:4" ht="15">
      <c r="A193" s="3"/>
      <c r="B193" s="10"/>
      <c r="C193" s="2"/>
    </row>
    <row r="194" spans="1:4" ht="15">
      <c r="A194" s="3"/>
      <c r="B194" s="4"/>
      <c r="C194" s="2"/>
      <c r="D194" s="2"/>
    </row>
    <row r="195" spans="1:4" ht="15">
      <c r="A195" s="3"/>
      <c r="B195" s="2"/>
      <c r="C195" s="2"/>
    </row>
    <row r="196" spans="1:4" ht="15">
      <c r="A196" s="3"/>
      <c r="B196" s="4"/>
      <c r="C196" s="2"/>
      <c r="D196" s="2"/>
    </row>
    <row r="197" spans="1:4" ht="15">
      <c r="A197" s="3"/>
      <c r="B197" s="2"/>
      <c r="C197" s="2"/>
      <c r="D197" s="2"/>
    </row>
    <row r="198" spans="1:4" ht="15">
      <c r="A198" s="8"/>
      <c r="B198" s="2"/>
      <c r="C198" s="2"/>
      <c r="D198" s="2"/>
    </row>
    <row r="199" spans="1:4" ht="15">
      <c r="A199" s="3"/>
      <c r="B199" s="6"/>
      <c r="C199" s="2"/>
      <c r="D199" s="2"/>
    </row>
    <row r="200" spans="1:4" ht="15">
      <c r="A200" s="3"/>
      <c r="B200" s="2"/>
      <c r="C200" s="2"/>
      <c r="D200" s="2"/>
    </row>
    <row r="201" spans="1:4" ht="15">
      <c r="A201" s="3"/>
      <c r="B201" s="4"/>
      <c r="C201" s="2"/>
      <c r="D201" s="2"/>
    </row>
    <row r="202" spans="1:4" ht="15">
      <c r="A202" s="3"/>
      <c r="B202" s="2"/>
      <c r="C202" s="2"/>
      <c r="D202" s="2"/>
    </row>
    <row r="203" spans="1:4" ht="15">
      <c r="A203" s="8"/>
      <c r="B203" s="2"/>
      <c r="C203" s="2"/>
      <c r="D203" s="2"/>
    </row>
    <row r="204" spans="1:4" ht="15">
      <c r="A204" s="3"/>
      <c r="B204" s="10"/>
      <c r="C204" s="2"/>
      <c r="D204" s="2"/>
    </row>
    <row r="205" spans="1:4" ht="15">
      <c r="A205" s="3"/>
      <c r="B205" s="4"/>
      <c r="C205" s="2"/>
      <c r="D205" s="2"/>
    </row>
    <row r="206" spans="1:4" ht="15">
      <c r="A206" s="3"/>
      <c r="B206" s="2"/>
      <c r="C206" s="2"/>
      <c r="D206" s="2"/>
    </row>
    <row r="207" spans="1:4" ht="15.75">
      <c r="A207" s="7"/>
      <c r="B207" s="9"/>
      <c r="C207" s="2"/>
      <c r="D207" s="2"/>
    </row>
    <row r="208" spans="1:4" ht="15.75">
      <c r="A208" s="1"/>
      <c r="B208" s="11"/>
      <c r="C208" s="9"/>
      <c r="D208" s="2"/>
    </row>
    <row r="209" spans="1:4" ht="15">
      <c r="A209" s="3"/>
      <c r="B209" s="2"/>
      <c r="C209" s="2"/>
      <c r="D209" s="2"/>
    </row>
    <row r="210" spans="1:4" ht="15">
      <c r="A210" s="8"/>
      <c r="B210" s="2"/>
      <c r="C210" s="2"/>
      <c r="D210" s="2"/>
    </row>
    <row r="211" spans="1:4" ht="15.75">
      <c r="A211" s="1"/>
      <c r="B211" s="45"/>
      <c r="C211" s="9"/>
      <c r="D211" s="2"/>
    </row>
    <row r="212" spans="1:4" ht="15">
      <c r="A212" s="3"/>
      <c r="B212" s="12"/>
      <c r="C212" s="2"/>
      <c r="D212" s="2"/>
    </row>
    <row r="213" spans="1:4" ht="15">
      <c r="A213" s="8"/>
      <c r="B213" s="2"/>
      <c r="C213" s="2"/>
      <c r="D213" s="2"/>
    </row>
    <row r="214" spans="1:4" ht="15">
      <c r="A214" s="3"/>
      <c r="B214" s="2"/>
      <c r="C214" s="2"/>
      <c r="D214" s="2"/>
    </row>
    <row r="215" spans="1:4" ht="15">
      <c r="A215" s="8"/>
      <c r="B215" s="2"/>
      <c r="C215" s="2"/>
      <c r="D215" s="2"/>
    </row>
    <row r="216" spans="1:4" ht="15">
      <c r="A216" s="3"/>
      <c r="B216" s="2"/>
      <c r="C216" s="2"/>
      <c r="D216" s="2"/>
    </row>
    <row r="217" spans="1:4" ht="15">
      <c r="A217" s="8"/>
      <c r="B217" s="2"/>
      <c r="C217" s="2"/>
      <c r="D217" s="2"/>
    </row>
    <row r="218" spans="1:4" ht="15">
      <c r="A218" s="8"/>
      <c r="B218" s="2"/>
      <c r="C218" s="2"/>
      <c r="D218" s="2"/>
    </row>
    <row r="219" spans="1:4" ht="15">
      <c r="A219" s="8"/>
      <c r="B219" s="2"/>
      <c r="C219" s="2"/>
      <c r="D219" s="2"/>
    </row>
    <row r="220" spans="1:4" ht="15.75">
      <c r="A220" s="8"/>
      <c r="B220" s="2"/>
      <c r="C220" s="2"/>
      <c r="D220" s="1"/>
    </row>
    <row r="221" spans="1:4" ht="15">
      <c r="A221" s="8"/>
      <c r="B221" s="2"/>
      <c r="C221" s="2"/>
      <c r="D221" s="2"/>
    </row>
    <row r="222" spans="1:4" ht="15">
      <c r="A222" s="3"/>
      <c r="B222" s="6"/>
      <c r="C222" s="2"/>
      <c r="D222" s="2"/>
    </row>
    <row r="223" spans="1:4" ht="15">
      <c r="A223" s="3"/>
      <c r="B223" s="2"/>
      <c r="C223" s="2"/>
      <c r="D223" s="2"/>
    </row>
    <row r="224" spans="1:4" ht="15">
      <c r="A224" s="8"/>
      <c r="B224" s="4"/>
      <c r="C224" s="2"/>
      <c r="D224" s="2"/>
    </row>
    <row r="225" spans="1:4" ht="15">
      <c r="A225" s="3"/>
      <c r="B225" s="4"/>
      <c r="C225" s="2"/>
      <c r="D225" s="2"/>
    </row>
    <row r="226" spans="1:4" ht="15">
      <c r="A226" s="3"/>
      <c r="B226" s="2"/>
      <c r="C226" s="2"/>
      <c r="D226" s="2"/>
    </row>
    <row r="227" spans="1:4" ht="15">
      <c r="A227" s="3"/>
      <c r="B227" s="14"/>
      <c r="C227" s="2"/>
      <c r="D227" s="2"/>
    </row>
    <row r="228" spans="1:4" ht="15">
      <c r="A228" s="3"/>
      <c r="B228" s="15"/>
      <c r="C228" s="2"/>
      <c r="D228" s="2"/>
    </row>
    <row r="229" spans="1:4" ht="15">
      <c r="A229" s="3"/>
      <c r="B229" s="2"/>
      <c r="C229" s="2"/>
      <c r="D229" s="2"/>
    </row>
    <row r="230" spans="1:4" ht="15">
      <c r="A230" s="3"/>
      <c r="B230" s="4"/>
      <c r="C230" s="2"/>
      <c r="D230" s="2"/>
    </row>
    <row r="231" spans="1:4" ht="15">
      <c r="A231" s="3"/>
      <c r="B231" s="4"/>
      <c r="C231" s="2"/>
      <c r="D231" s="2"/>
    </row>
    <row r="232" spans="1:4" ht="15">
      <c r="A232" s="3"/>
      <c r="B232" s="4"/>
      <c r="C232" s="2"/>
      <c r="D232" s="2"/>
    </row>
    <row r="233" spans="1:4" ht="15">
      <c r="A233" s="3"/>
      <c r="B233" s="10"/>
      <c r="C233" s="2"/>
      <c r="D233" s="2"/>
    </row>
    <row r="234" spans="1:4" ht="15">
      <c r="A234" s="3"/>
      <c r="B234" s="2"/>
      <c r="C234" s="2"/>
      <c r="D234" s="2"/>
    </row>
    <row r="235" spans="1:4" ht="15">
      <c r="A235" s="8"/>
      <c r="B235" s="4"/>
      <c r="C235" s="2"/>
      <c r="D235" s="2"/>
    </row>
    <row r="236" spans="1:4" ht="15">
      <c r="A236" s="3"/>
      <c r="B236" s="4"/>
      <c r="C236" s="2"/>
      <c r="D236" s="2"/>
    </row>
    <row r="237" spans="1:4" ht="15">
      <c r="A237" s="3"/>
      <c r="B237" s="2"/>
      <c r="C237" s="2"/>
    </row>
    <row r="238" spans="1:4" ht="15">
      <c r="A238" s="8"/>
      <c r="B238" s="2"/>
      <c r="C238" s="2"/>
      <c r="D238" s="2"/>
    </row>
    <row r="239" spans="1:4" ht="15">
      <c r="A239" s="3"/>
      <c r="B239" s="4"/>
      <c r="C239" s="2"/>
    </row>
    <row r="240" spans="1:4" ht="15">
      <c r="A240" s="3"/>
      <c r="B240" s="6"/>
      <c r="C240" s="2"/>
      <c r="D240" s="2"/>
    </row>
    <row r="241" spans="1:4" ht="15.75">
      <c r="A241" s="1"/>
      <c r="B241" s="16"/>
      <c r="C241" s="2"/>
      <c r="D241" s="2"/>
    </row>
    <row r="268" spans="4:4" ht="15.75">
      <c r="D268" s="1"/>
    </row>
    <row r="318" spans="4:4" ht="15.75">
      <c r="D318" s="1" t="s">
        <v>54</v>
      </c>
    </row>
  </sheetData>
  <sheetProtection formatCells="0" selectLockedCells="1"/>
  <phoneticPr fontId="3"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dimension ref="A1:M206"/>
  <sheetViews>
    <sheetView workbookViewId="0">
      <selection activeCell="F23" sqref="F23"/>
    </sheetView>
  </sheetViews>
  <sheetFormatPr defaultRowHeight="12.75"/>
  <cols>
    <col min="1" max="1" width="40.85546875" customWidth="1"/>
    <col min="2" max="2" width="24.140625" customWidth="1"/>
    <col min="3" max="3" width="6" customWidth="1"/>
    <col min="4" max="4" width="10.7109375" customWidth="1"/>
    <col min="6" max="6" width="20" customWidth="1"/>
  </cols>
  <sheetData>
    <row r="1" spans="1:13" ht="15.75">
      <c r="A1" s="291" t="s">
        <v>571</v>
      </c>
      <c r="F1" s="266"/>
      <c r="G1" s="266"/>
      <c r="H1" s="266"/>
      <c r="I1" s="266"/>
      <c r="J1" s="266"/>
      <c r="K1" s="266"/>
      <c r="L1" s="266"/>
      <c r="M1" s="266"/>
    </row>
    <row r="2" spans="1:13">
      <c r="A2" s="46" t="s">
        <v>273</v>
      </c>
      <c r="B2" s="47"/>
      <c r="D2" s="48"/>
      <c r="F2" s="266"/>
      <c r="G2" s="266"/>
      <c r="H2" s="266"/>
      <c r="I2" s="266"/>
      <c r="J2" s="266"/>
      <c r="K2" s="266"/>
      <c r="L2" s="266"/>
      <c r="M2" s="266"/>
    </row>
    <row r="3" spans="1:13">
      <c r="A3" s="46" t="s">
        <v>274</v>
      </c>
      <c r="B3" s="47"/>
      <c r="F3" s="266"/>
      <c r="G3" s="266"/>
      <c r="H3" s="266"/>
      <c r="I3" s="266"/>
      <c r="J3" s="266"/>
      <c r="K3" s="266"/>
      <c r="L3" s="266"/>
      <c r="M3" s="266"/>
    </row>
    <row r="4" spans="1:13">
      <c r="A4" s="59" t="s">
        <v>340</v>
      </c>
      <c r="B4" s="47"/>
      <c r="F4" s="266"/>
      <c r="G4" s="266"/>
      <c r="H4" s="266"/>
      <c r="I4" s="266"/>
      <c r="J4" s="266"/>
      <c r="K4" s="266"/>
      <c r="L4" s="266"/>
      <c r="M4" s="266"/>
    </row>
    <row r="5" spans="1:13">
      <c r="A5" s="49"/>
      <c r="B5" s="47"/>
      <c r="F5" s="266"/>
      <c r="G5" s="266"/>
      <c r="H5" s="266"/>
      <c r="I5" s="266"/>
      <c r="J5" s="266"/>
      <c r="K5" s="266"/>
      <c r="L5" s="266"/>
      <c r="M5" s="266"/>
    </row>
    <row r="6" spans="1:13">
      <c r="A6" s="49"/>
      <c r="B6" s="47"/>
      <c r="F6" s="266"/>
      <c r="G6" s="266"/>
      <c r="H6" s="266"/>
      <c r="I6" s="266"/>
      <c r="J6" s="266"/>
      <c r="K6" s="266"/>
      <c r="L6" s="266"/>
      <c r="M6" s="266"/>
    </row>
    <row r="7" spans="1:13">
      <c r="A7" s="49"/>
      <c r="B7" s="47"/>
      <c r="F7" s="266"/>
      <c r="G7" s="266"/>
      <c r="H7" s="266"/>
      <c r="I7" s="266"/>
      <c r="J7" s="266"/>
      <c r="K7" s="266"/>
      <c r="L7" s="266"/>
      <c r="M7" s="266"/>
    </row>
    <row r="8" spans="1:13">
      <c r="A8" s="49"/>
      <c r="B8" s="47"/>
      <c r="F8" s="266"/>
      <c r="G8" s="266"/>
      <c r="H8" s="266"/>
      <c r="I8" s="266"/>
      <c r="J8" s="266"/>
      <c r="K8" s="266"/>
      <c r="L8" s="266"/>
      <c r="M8" s="266"/>
    </row>
    <row r="9" spans="1:13">
      <c r="A9" s="49"/>
      <c r="B9" s="47"/>
      <c r="F9" s="266"/>
      <c r="G9" s="266"/>
      <c r="H9" s="266"/>
      <c r="I9" s="266"/>
      <c r="J9" s="266"/>
      <c r="K9" s="266"/>
      <c r="L9" s="266"/>
      <c r="M9" s="266"/>
    </row>
    <row r="10" spans="1:13">
      <c r="A10" s="49"/>
      <c r="B10" s="47"/>
      <c r="F10" s="266"/>
      <c r="G10" s="266"/>
      <c r="H10" s="266"/>
      <c r="I10" s="266"/>
      <c r="J10" s="266"/>
      <c r="K10" s="266"/>
      <c r="L10" s="266"/>
      <c r="M10" s="266"/>
    </row>
    <row r="11" spans="1:13">
      <c r="A11" s="49"/>
      <c r="B11" s="47"/>
      <c r="F11" s="266"/>
      <c r="G11" s="266"/>
      <c r="H11" s="266"/>
      <c r="I11" s="266"/>
      <c r="J11" s="266"/>
      <c r="K11" s="266"/>
      <c r="L11" s="266"/>
      <c r="M11" s="266"/>
    </row>
    <row r="12" spans="1:13">
      <c r="A12" s="49"/>
      <c r="B12" s="47"/>
      <c r="F12" s="266"/>
      <c r="G12" s="266"/>
      <c r="H12" s="266"/>
      <c r="I12" s="266"/>
      <c r="J12" s="266"/>
      <c r="K12" s="266"/>
      <c r="L12" s="266"/>
      <c r="M12" s="266"/>
    </row>
    <row r="13" spans="1:13">
      <c r="A13" s="49"/>
      <c r="B13" s="47"/>
      <c r="F13" s="266"/>
      <c r="G13" s="266"/>
      <c r="H13" s="266"/>
      <c r="I13" s="266"/>
      <c r="J13" s="266"/>
      <c r="K13" s="266"/>
      <c r="L13" s="266"/>
      <c r="M13" s="266"/>
    </row>
    <row r="14" spans="1:13">
      <c r="A14" s="49"/>
      <c r="B14" s="47"/>
      <c r="F14" s="266"/>
      <c r="G14" s="266"/>
      <c r="H14" s="266"/>
      <c r="I14" s="266"/>
      <c r="J14" s="266"/>
      <c r="K14" s="266"/>
      <c r="L14" s="266"/>
      <c r="M14" s="266"/>
    </row>
    <row r="15" spans="1:13">
      <c r="A15" s="49"/>
      <c r="B15" s="47"/>
      <c r="F15" s="266"/>
      <c r="G15" s="266"/>
      <c r="H15" s="266"/>
      <c r="I15" s="266"/>
      <c r="J15" s="266"/>
      <c r="K15" s="266"/>
      <c r="L15" s="266"/>
      <c r="M15" s="266"/>
    </row>
    <row r="16" spans="1:13">
      <c r="A16" s="49"/>
      <c r="B16" s="47"/>
      <c r="F16" s="266"/>
      <c r="G16" s="266"/>
      <c r="H16" s="266"/>
      <c r="I16" s="266"/>
      <c r="J16" s="266"/>
      <c r="K16" s="266"/>
      <c r="L16" s="266"/>
      <c r="M16" s="266"/>
    </row>
    <row r="17" spans="1:13">
      <c r="A17" s="49"/>
      <c r="B17" s="47"/>
      <c r="F17" s="266"/>
      <c r="G17" s="266"/>
      <c r="H17" s="266"/>
      <c r="I17" s="266"/>
      <c r="J17" s="266"/>
      <c r="K17" s="266"/>
      <c r="L17" s="266"/>
      <c r="M17" s="266"/>
    </row>
    <row r="18" spans="1:13">
      <c r="F18" s="266"/>
      <c r="G18" s="266"/>
      <c r="H18" s="266"/>
      <c r="I18" s="266"/>
      <c r="J18" s="266"/>
      <c r="K18" s="266"/>
      <c r="L18" s="266"/>
      <c r="M18" s="266"/>
    </row>
    <row r="19" spans="1:13">
      <c r="F19" s="266"/>
      <c r="G19" s="266"/>
      <c r="H19" s="266"/>
      <c r="I19" s="266"/>
      <c r="J19" s="266"/>
      <c r="K19" s="266"/>
      <c r="L19" s="266"/>
      <c r="M19" s="266"/>
    </row>
    <row r="20" spans="1:13">
      <c r="F20" s="266"/>
      <c r="G20" s="266"/>
      <c r="H20" s="266"/>
      <c r="I20" s="266"/>
      <c r="J20" s="266"/>
      <c r="K20" s="266"/>
      <c r="L20" s="266"/>
      <c r="M20" s="266"/>
    </row>
    <row r="21" spans="1:13">
      <c r="A21" t="s">
        <v>341</v>
      </c>
      <c r="F21" s="266"/>
      <c r="G21" s="266"/>
      <c r="H21" s="266"/>
      <c r="I21" s="266"/>
      <c r="J21" s="266"/>
      <c r="K21" s="266"/>
      <c r="L21" s="266"/>
      <c r="M21" s="266"/>
    </row>
    <row r="22" spans="1:13">
      <c r="A22" t="s">
        <v>708</v>
      </c>
      <c r="F22" s="266"/>
      <c r="G22" s="266"/>
      <c r="H22" s="266"/>
      <c r="I22" s="266"/>
      <c r="J22" s="266"/>
      <c r="K22" s="266"/>
      <c r="L22" s="266"/>
      <c r="M22" s="266"/>
    </row>
    <row r="23" spans="1:13">
      <c r="F23" s="266"/>
      <c r="G23" s="266"/>
      <c r="H23" s="266"/>
      <c r="I23" s="266"/>
      <c r="J23" s="266"/>
      <c r="K23" s="266"/>
      <c r="L23" s="266"/>
      <c r="M23" s="266"/>
    </row>
    <row r="24" spans="1:13" ht="13.5" thickBot="1">
      <c r="A24" s="46" t="s">
        <v>709</v>
      </c>
      <c r="B24" s="84" t="s">
        <v>121</v>
      </c>
      <c r="F24" s="266"/>
      <c r="G24" s="266"/>
      <c r="H24" s="266"/>
      <c r="I24" s="266"/>
      <c r="J24" s="266"/>
      <c r="K24" s="266"/>
      <c r="L24" s="266"/>
      <c r="M24" s="266"/>
    </row>
    <row r="25" spans="1:13">
      <c r="A25" s="49" t="s">
        <v>337</v>
      </c>
      <c r="B25" s="262">
        <v>1100</v>
      </c>
      <c r="C25" t="s">
        <v>275</v>
      </c>
      <c r="F25" s="266"/>
      <c r="G25" s="266"/>
      <c r="H25" s="266"/>
      <c r="I25" s="266"/>
      <c r="J25" s="266"/>
      <c r="K25" s="266"/>
      <c r="L25" s="266"/>
      <c r="M25" s="266"/>
    </row>
    <row r="26" spans="1:13" ht="13.5" thickBot="1">
      <c r="A26" s="49" t="s">
        <v>339</v>
      </c>
      <c r="B26" s="269">
        <v>100</v>
      </c>
      <c r="C26" t="s">
        <v>275</v>
      </c>
      <c r="F26" s="266"/>
      <c r="G26" s="266"/>
      <c r="H26" s="266"/>
      <c r="I26" s="266"/>
      <c r="J26" s="266"/>
      <c r="K26" s="266"/>
      <c r="L26" s="266"/>
      <c r="M26" s="266"/>
    </row>
    <row r="27" spans="1:13">
      <c r="A27" s="49" t="s">
        <v>338</v>
      </c>
      <c r="B27" s="66" t="s">
        <v>342</v>
      </c>
      <c r="C27" t="s">
        <v>275</v>
      </c>
      <c r="F27" s="266"/>
      <c r="G27" s="266"/>
      <c r="H27" s="266"/>
      <c r="I27" s="266"/>
      <c r="J27" s="266"/>
      <c r="K27" s="266"/>
      <c r="L27" s="266"/>
      <c r="M27" s="266"/>
    </row>
    <row r="28" spans="1:13">
      <c r="A28" s="49" t="s">
        <v>343</v>
      </c>
      <c r="B28" s="66">
        <f>(B25+B26)/2</f>
        <v>600</v>
      </c>
      <c r="C28" t="s">
        <v>275</v>
      </c>
      <c r="F28" s="266"/>
      <c r="G28" s="266"/>
      <c r="H28" s="266"/>
      <c r="I28" s="266"/>
      <c r="J28" s="266"/>
      <c r="K28" s="266"/>
      <c r="L28" s="266"/>
      <c r="M28" s="266"/>
    </row>
    <row r="29" spans="1:13">
      <c r="B29" s="47"/>
      <c r="F29" s="266"/>
      <c r="G29" s="266"/>
      <c r="H29" s="266"/>
      <c r="I29" s="266"/>
      <c r="J29" s="266"/>
      <c r="K29" s="266"/>
      <c r="L29" s="266"/>
      <c r="M29" s="266"/>
    </row>
    <row r="30" spans="1:13">
      <c r="F30" s="266"/>
      <c r="G30" s="266"/>
      <c r="H30" s="266"/>
      <c r="I30" s="266"/>
      <c r="J30" s="266"/>
      <c r="K30" s="266"/>
      <c r="L30" s="266"/>
      <c r="M30" s="266"/>
    </row>
    <row r="31" spans="1:13">
      <c r="F31" s="266"/>
      <c r="G31" s="266"/>
      <c r="H31" s="266"/>
      <c r="I31" s="266"/>
      <c r="J31" s="266"/>
      <c r="K31" s="266"/>
      <c r="L31" s="266"/>
      <c r="M31" s="266"/>
    </row>
    <row r="32" spans="1:13">
      <c r="F32" s="266"/>
      <c r="G32" s="266"/>
      <c r="H32" s="266"/>
      <c r="I32" s="266"/>
      <c r="J32" s="266"/>
      <c r="K32" s="266"/>
      <c r="L32" s="266"/>
      <c r="M32" s="266"/>
    </row>
    <row r="33" spans="1:13">
      <c r="F33" s="266"/>
      <c r="G33" s="266"/>
      <c r="H33" s="266"/>
      <c r="I33" s="266"/>
      <c r="J33" s="266"/>
      <c r="K33" s="266"/>
      <c r="L33" s="266"/>
      <c r="M33" s="266"/>
    </row>
    <row r="34" spans="1:13">
      <c r="F34" s="266"/>
      <c r="G34" s="266"/>
      <c r="H34" s="266"/>
      <c r="I34" s="266"/>
      <c r="J34" s="266"/>
      <c r="K34" s="266"/>
      <c r="L34" s="266"/>
      <c r="M34" s="266"/>
    </row>
    <row r="35" spans="1:13">
      <c r="F35" s="266"/>
      <c r="G35" s="266"/>
      <c r="H35" s="266"/>
      <c r="I35" s="266"/>
      <c r="J35" s="266"/>
      <c r="K35" s="266"/>
      <c r="L35" s="266"/>
      <c r="M35" s="266"/>
    </row>
    <row r="36" spans="1:13">
      <c r="F36" s="266"/>
      <c r="G36" s="266"/>
      <c r="H36" s="266"/>
      <c r="I36" s="266"/>
      <c r="J36" s="266"/>
      <c r="K36" s="266"/>
      <c r="L36" s="266"/>
      <c r="M36" s="266"/>
    </row>
    <row r="37" spans="1:13">
      <c r="F37" s="266"/>
      <c r="G37" s="266"/>
      <c r="H37" s="266"/>
      <c r="I37" s="266"/>
      <c r="J37" s="266"/>
      <c r="K37" s="266"/>
      <c r="L37" s="266"/>
      <c r="M37" s="266"/>
    </row>
    <row r="38" spans="1:13">
      <c r="F38" s="266"/>
      <c r="G38" s="266"/>
      <c r="H38" s="266"/>
      <c r="I38" s="266"/>
      <c r="J38" s="266"/>
      <c r="K38" s="266"/>
      <c r="L38" s="266"/>
      <c r="M38" s="266"/>
    </row>
    <row r="39" spans="1:13">
      <c r="F39" s="266"/>
      <c r="G39" s="266"/>
      <c r="H39" s="266"/>
      <c r="I39" s="266"/>
      <c r="J39" s="266"/>
      <c r="K39" s="266"/>
      <c r="L39" s="266"/>
      <c r="M39" s="266"/>
    </row>
    <row r="40" spans="1:13">
      <c r="F40" s="266"/>
      <c r="G40" s="266"/>
      <c r="H40" s="266"/>
      <c r="I40" s="266"/>
      <c r="J40" s="266"/>
      <c r="K40" s="266"/>
      <c r="L40" s="266"/>
      <c r="M40" s="266"/>
    </row>
    <row r="41" spans="1:13">
      <c r="F41" s="266"/>
      <c r="G41" s="266"/>
      <c r="H41" s="266"/>
      <c r="I41" s="266"/>
      <c r="J41" s="266"/>
      <c r="K41" s="266"/>
      <c r="L41" s="266"/>
      <c r="M41" s="266"/>
    </row>
    <row r="42" spans="1:13">
      <c r="F42" s="266"/>
      <c r="G42" s="266"/>
      <c r="H42" s="266"/>
      <c r="I42" s="266"/>
      <c r="J42" s="266"/>
      <c r="K42" s="266"/>
      <c r="L42" s="266"/>
      <c r="M42" s="266"/>
    </row>
    <row r="43" spans="1:13" ht="13.5" thickBot="1">
      <c r="A43" s="46" t="s">
        <v>276</v>
      </c>
      <c r="B43" s="85" t="s">
        <v>121</v>
      </c>
      <c r="F43" s="266"/>
      <c r="G43" s="266"/>
      <c r="H43" s="266"/>
      <c r="I43" s="266"/>
      <c r="J43" s="266"/>
      <c r="K43" s="266"/>
      <c r="L43" s="266"/>
      <c r="M43" s="266"/>
    </row>
    <row r="44" spans="1:13">
      <c r="A44" s="49" t="s">
        <v>344</v>
      </c>
      <c r="B44" s="267">
        <v>2</v>
      </c>
      <c r="C44" t="s">
        <v>30</v>
      </c>
      <c r="F44" s="266"/>
      <c r="G44" s="266"/>
      <c r="H44" s="266"/>
      <c r="I44" s="266"/>
      <c r="J44" s="266"/>
      <c r="K44" s="266"/>
      <c r="L44" s="266"/>
      <c r="M44" s="266"/>
    </row>
    <row r="45" spans="1:13">
      <c r="A45" s="49" t="s">
        <v>345</v>
      </c>
      <c r="B45" s="268">
        <v>1</v>
      </c>
      <c r="C45" t="s">
        <v>30</v>
      </c>
      <c r="F45" s="266"/>
      <c r="G45" s="266"/>
      <c r="H45" s="266"/>
      <c r="I45" s="266"/>
      <c r="J45" s="266"/>
      <c r="K45" s="266"/>
      <c r="L45" s="266"/>
      <c r="M45" s="266"/>
    </row>
    <row r="46" spans="1:13">
      <c r="A46" s="49" t="s">
        <v>346</v>
      </c>
      <c r="B46" s="268">
        <v>1.125</v>
      </c>
      <c r="C46" t="s">
        <v>30</v>
      </c>
      <c r="F46" s="266"/>
      <c r="G46" s="266"/>
      <c r="H46" s="266"/>
      <c r="I46" s="266"/>
      <c r="J46" s="266"/>
      <c r="K46" s="266"/>
      <c r="L46" s="266"/>
      <c r="M46" s="266"/>
    </row>
    <row r="47" spans="1:13">
      <c r="A47" s="49" t="s">
        <v>347</v>
      </c>
      <c r="B47" s="268">
        <v>0.5</v>
      </c>
      <c r="C47" t="s">
        <v>30</v>
      </c>
      <c r="F47" s="266"/>
      <c r="G47" s="266"/>
      <c r="H47" s="266"/>
      <c r="I47" s="266"/>
      <c r="J47" s="266"/>
      <c r="K47" s="266"/>
      <c r="L47" s="266"/>
      <c r="M47" s="266"/>
    </row>
    <row r="48" spans="1:13">
      <c r="A48" s="49" t="s">
        <v>348</v>
      </c>
      <c r="B48" s="268">
        <v>5</v>
      </c>
      <c r="C48" t="s">
        <v>30</v>
      </c>
      <c r="F48" s="266"/>
      <c r="G48" s="266"/>
      <c r="H48" s="266"/>
      <c r="I48" s="266"/>
      <c r="J48" s="266"/>
      <c r="K48" s="266"/>
      <c r="L48" s="266"/>
      <c r="M48" s="266"/>
    </row>
    <row r="49" spans="1:13">
      <c r="A49" s="49" t="s">
        <v>349</v>
      </c>
      <c r="B49" s="268">
        <v>6</v>
      </c>
      <c r="C49" t="s">
        <v>30</v>
      </c>
      <c r="F49" s="266"/>
      <c r="G49" s="266"/>
      <c r="H49" s="266"/>
      <c r="I49" s="266"/>
      <c r="J49" s="266"/>
      <c r="K49" s="266"/>
      <c r="L49" s="266"/>
      <c r="M49" s="266"/>
    </row>
    <row r="50" spans="1:13">
      <c r="A50" s="49" t="s">
        <v>351</v>
      </c>
      <c r="B50" s="264">
        <v>80000</v>
      </c>
      <c r="C50" t="s">
        <v>42</v>
      </c>
      <c r="F50" s="266"/>
      <c r="G50" s="266"/>
      <c r="H50" s="266"/>
      <c r="I50" s="266"/>
      <c r="J50" s="266"/>
      <c r="K50" s="266"/>
      <c r="L50" s="266"/>
      <c r="M50" s="266"/>
    </row>
    <row r="51" spans="1:13">
      <c r="A51" s="49" t="s">
        <v>710</v>
      </c>
      <c r="B51" s="264">
        <v>30000000</v>
      </c>
      <c r="C51" t="s">
        <v>42</v>
      </c>
      <c r="F51" s="266"/>
      <c r="G51" s="266"/>
      <c r="H51" s="266"/>
      <c r="I51" s="266"/>
      <c r="J51" s="266"/>
      <c r="K51" s="266"/>
      <c r="L51" s="266"/>
      <c r="M51" s="266"/>
    </row>
    <row r="52" spans="1:13" ht="13.5" thickBot="1">
      <c r="A52" s="49" t="s">
        <v>93</v>
      </c>
      <c r="B52" s="265">
        <v>99.99</v>
      </c>
      <c r="C52" t="s">
        <v>39</v>
      </c>
      <c r="E52" s="51" t="s">
        <v>0</v>
      </c>
      <c r="F52" s="266"/>
      <c r="G52" s="266"/>
      <c r="H52" s="266"/>
      <c r="I52" s="266"/>
      <c r="J52" s="266"/>
      <c r="K52" s="266"/>
      <c r="L52" s="266"/>
      <c r="M52" s="266"/>
    </row>
    <row r="53" spans="1:13">
      <c r="B53" s="47"/>
      <c r="F53" s="266"/>
      <c r="G53" s="266"/>
      <c r="H53" s="266"/>
      <c r="I53" s="266"/>
      <c r="J53" s="266"/>
      <c r="K53" s="266"/>
      <c r="L53" s="266"/>
      <c r="M53" s="266"/>
    </row>
    <row r="54" spans="1:13">
      <c r="A54" s="46" t="s">
        <v>336</v>
      </c>
      <c r="B54" s="85" t="s">
        <v>447</v>
      </c>
      <c r="F54" s="266"/>
      <c r="G54" s="266"/>
      <c r="H54" s="266"/>
      <c r="I54" s="266"/>
      <c r="J54" s="266"/>
      <c r="K54" s="266"/>
      <c r="L54" s="266"/>
      <c r="M54" s="266"/>
    </row>
    <row r="55" spans="1:13">
      <c r="A55" s="54" t="s">
        <v>324</v>
      </c>
      <c r="B55" s="182" t="s">
        <v>327</v>
      </c>
      <c r="C55" s="25"/>
      <c r="F55" s="266"/>
      <c r="G55" s="266"/>
      <c r="H55" s="266"/>
      <c r="I55" s="266"/>
      <c r="J55" s="266"/>
      <c r="K55" s="266"/>
      <c r="L55" s="266"/>
      <c r="M55" s="266"/>
    </row>
    <row r="56" spans="1:13">
      <c r="A56" s="54"/>
      <c r="B56" s="46">
        <f>5*B25</f>
        <v>5500</v>
      </c>
      <c r="C56" s="25" t="s">
        <v>281</v>
      </c>
      <c r="F56" s="266"/>
      <c r="G56" s="266"/>
      <c r="H56" s="266"/>
      <c r="I56" s="266"/>
      <c r="J56" s="266"/>
      <c r="K56" s="266"/>
      <c r="L56" s="266"/>
      <c r="M56" s="266"/>
    </row>
    <row r="57" spans="1:13">
      <c r="A57" s="54" t="s">
        <v>326</v>
      </c>
      <c r="B57" s="46" t="s">
        <v>329</v>
      </c>
      <c r="C57" s="25"/>
      <c r="F57" s="266"/>
      <c r="G57" s="266"/>
      <c r="H57" s="266"/>
      <c r="I57" s="266"/>
      <c r="J57" s="266"/>
      <c r="K57" s="266"/>
      <c r="L57" s="266"/>
      <c r="M57" s="266"/>
    </row>
    <row r="58" spans="1:13">
      <c r="A58" s="54"/>
      <c r="B58" s="46">
        <f>5 * B26</f>
        <v>500</v>
      </c>
      <c r="C58" s="25" t="s">
        <v>281</v>
      </c>
      <c r="F58" s="266"/>
      <c r="G58" s="266"/>
      <c r="H58" s="266"/>
      <c r="I58" s="266"/>
      <c r="J58" s="266"/>
      <c r="K58" s="266"/>
      <c r="L58" s="266"/>
      <c r="M58" s="266"/>
    </row>
    <row r="59" spans="1:13">
      <c r="A59" s="54" t="s">
        <v>325</v>
      </c>
      <c r="B59" s="46" t="s">
        <v>328</v>
      </c>
      <c r="C59" s="25"/>
      <c r="F59" s="266"/>
      <c r="G59" s="266"/>
      <c r="H59" s="266"/>
      <c r="I59" s="266"/>
      <c r="J59" s="266"/>
      <c r="K59" s="266"/>
      <c r="L59" s="266"/>
      <c r="M59" s="266"/>
    </row>
    <row r="60" spans="1:13">
      <c r="A60" s="54"/>
      <c r="B60" s="46">
        <f>5 * B28</f>
        <v>3000</v>
      </c>
      <c r="C60" s="25" t="s">
        <v>281</v>
      </c>
      <c r="F60" s="266"/>
      <c r="G60" s="266"/>
      <c r="H60" s="266"/>
      <c r="I60" s="266"/>
      <c r="J60" s="266"/>
      <c r="K60" s="266"/>
      <c r="L60" s="266"/>
      <c r="M60" s="266"/>
    </row>
    <row r="61" spans="1:13">
      <c r="F61" s="266"/>
      <c r="G61" s="266"/>
      <c r="H61" s="266"/>
      <c r="I61" s="266"/>
      <c r="J61" s="266"/>
      <c r="K61" s="266"/>
      <c r="L61" s="266"/>
      <c r="M61" s="266"/>
    </row>
    <row r="62" spans="1:13">
      <c r="A62" s="46" t="s">
        <v>350</v>
      </c>
      <c r="F62" s="266"/>
      <c r="G62" s="266"/>
      <c r="H62" s="266"/>
      <c r="I62" s="266"/>
      <c r="J62" s="266"/>
      <c r="K62" s="266"/>
      <c r="L62" s="266"/>
      <c r="M62" s="266"/>
    </row>
    <row r="63" spans="1:13">
      <c r="A63" s="54" t="s">
        <v>333</v>
      </c>
      <c r="B63" s="25"/>
      <c r="C63" s="25"/>
      <c r="F63" s="266"/>
      <c r="G63" s="266"/>
      <c r="H63" s="266"/>
      <c r="I63" s="266"/>
      <c r="J63" s="266"/>
      <c r="K63" s="266"/>
      <c r="L63" s="266"/>
      <c r="M63" s="266"/>
    </row>
    <row r="64" spans="1:13">
      <c r="A64" s="54" t="s">
        <v>352</v>
      </c>
      <c r="B64" s="64" t="s">
        <v>283</v>
      </c>
      <c r="C64" s="25"/>
      <c r="F64" s="266"/>
      <c r="G64" s="266"/>
      <c r="H64" s="266"/>
      <c r="I64" s="266"/>
      <c r="J64" s="266"/>
      <c r="K64" s="266"/>
      <c r="L64" s="266"/>
      <c r="M64" s="266"/>
    </row>
    <row r="65" spans="1:13">
      <c r="A65" s="54" t="s">
        <v>282</v>
      </c>
      <c r="B65" s="151">
        <f>B44*B45^3/12</f>
        <v>0.16666666666666666</v>
      </c>
      <c r="C65" s="25" t="s">
        <v>284</v>
      </c>
      <c r="F65" s="266"/>
      <c r="G65" s="266"/>
      <c r="H65" s="266"/>
      <c r="I65" s="266"/>
      <c r="J65" s="266"/>
      <c r="K65" s="266"/>
      <c r="L65" s="266"/>
      <c r="M65" s="266"/>
    </row>
    <row r="66" spans="1:13">
      <c r="A66" s="54" t="s">
        <v>353</v>
      </c>
      <c r="B66" s="64" t="s">
        <v>286</v>
      </c>
      <c r="C66" s="25"/>
      <c r="F66" s="266"/>
      <c r="G66" s="266"/>
      <c r="H66" s="266"/>
      <c r="I66" s="266"/>
      <c r="J66" s="266"/>
      <c r="K66" s="266"/>
      <c r="L66" s="266"/>
      <c r="M66" s="266"/>
    </row>
    <row r="67" spans="1:13">
      <c r="A67" s="54" t="s">
        <v>354</v>
      </c>
      <c r="B67" s="64">
        <f>B45/2</f>
        <v>0.5</v>
      </c>
      <c r="C67" s="25" t="s">
        <v>30</v>
      </c>
      <c r="F67" s="266"/>
      <c r="G67" s="266"/>
      <c r="H67" s="266"/>
      <c r="I67" s="266"/>
      <c r="J67" s="266"/>
      <c r="K67" s="266"/>
      <c r="L67" s="266"/>
      <c r="M67" s="266"/>
    </row>
    <row r="68" spans="1:13">
      <c r="A68" s="25"/>
      <c r="B68" s="25"/>
      <c r="C68" s="25"/>
      <c r="F68" s="266"/>
      <c r="G68" s="266"/>
      <c r="H68" s="266"/>
      <c r="I68" s="266"/>
      <c r="J68" s="266"/>
      <c r="K68" s="266"/>
      <c r="L68" s="266"/>
      <c r="M68" s="266"/>
    </row>
    <row r="69" spans="1:13">
      <c r="A69" s="54" t="s">
        <v>334</v>
      </c>
      <c r="B69" s="64" t="s">
        <v>355</v>
      </c>
      <c r="C69" s="25"/>
      <c r="F69" s="266"/>
      <c r="G69" s="266"/>
      <c r="H69" s="266"/>
      <c r="I69" s="266"/>
      <c r="J69" s="266"/>
      <c r="K69" s="266"/>
      <c r="L69" s="266"/>
      <c r="M69" s="266"/>
    </row>
    <row r="70" spans="1:13">
      <c r="A70" s="54" t="s">
        <v>691</v>
      </c>
      <c r="B70" s="64" t="s">
        <v>330</v>
      </c>
      <c r="C70" s="25"/>
      <c r="F70" s="266"/>
      <c r="G70" s="266"/>
      <c r="H70" s="266"/>
      <c r="I70" s="266"/>
      <c r="J70" s="266"/>
      <c r="K70" s="266"/>
      <c r="L70" s="266"/>
      <c r="M70" s="266"/>
    </row>
    <row r="71" spans="1:13">
      <c r="A71" s="25"/>
      <c r="B71" s="63">
        <f>B56*B67 / B65</f>
        <v>16500</v>
      </c>
      <c r="C71" s="25" t="s">
        <v>42</v>
      </c>
      <c r="F71" s="266"/>
      <c r="G71" s="266"/>
      <c r="H71" s="266"/>
      <c r="I71" s="266"/>
      <c r="J71" s="266"/>
      <c r="K71" s="266"/>
      <c r="L71" s="266"/>
      <c r="M71" s="266"/>
    </row>
    <row r="72" spans="1:13">
      <c r="A72" s="54" t="s">
        <v>332</v>
      </c>
      <c r="B72" s="64" t="s">
        <v>331</v>
      </c>
      <c r="C72" s="25"/>
      <c r="F72" s="266"/>
      <c r="G72" s="266"/>
      <c r="H72" s="266"/>
      <c r="I72" s="266"/>
      <c r="J72" s="266"/>
      <c r="K72" s="266"/>
      <c r="L72" s="266"/>
      <c r="M72" s="266"/>
    </row>
    <row r="73" spans="1:13">
      <c r="A73" s="25"/>
      <c r="B73" s="63">
        <f>B58*B67 / B65</f>
        <v>1500</v>
      </c>
      <c r="C73" s="25" t="s">
        <v>42</v>
      </c>
      <c r="F73" s="266"/>
      <c r="G73" s="266"/>
      <c r="H73" s="266"/>
      <c r="I73" s="266"/>
      <c r="J73" s="266"/>
      <c r="K73" s="266"/>
      <c r="L73" s="266"/>
      <c r="M73" s="266"/>
    </row>
    <row r="74" spans="1:13">
      <c r="A74" s="25"/>
      <c r="B74" s="46"/>
      <c r="C74" s="25"/>
      <c r="F74" s="266"/>
      <c r="G74" s="266"/>
      <c r="H74" s="266"/>
      <c r="I74" s="266"/>
      <c r="J74" s="266"/>
      <c r="K74" s="266"/>
      <c r="L74" s="266"/>
      <c r="M74" s="266"/>
    </row>
    <row r="75" spans="1:13">
      <c r="A75" s="54" t="s">
        <v>362</v>
      </c>
      <c r="B75" s="64" t="s">
        <v>359</v>
      </c>
      <c r="C75" s="25"/>
      <c r="F75" s="266"/>
      <c r="G75" s="266"/>
      <c r="H75" s="266"/>
      <c r="I75" s="266"/>
      <c r="J75" s="266"/>
      <c r="K75" s="266"/>
      <c r="L75" s="266"/>
      <c r="M75" s="266"/>
    </row>
    <row r="76" spans="1:13">
      <c r="A76" s="54" t="s">
        <v>363</v>
      </c>
      <c r="B76" s="63">
        <f>(B71+B73)/2</f>
        <v>9000</v>
      </c>
      <c r="C76" s="25" t="s">
        <v>42</v>
      </c>
      <c r="F76" s="266"/>
      <c r="G76" s="266"/>
      <c r="H76" s="266"/>
      <c r="I76" s="266"/>
      <c r="J76" s="266"/>
      <c r="K76" s="266"/>
      <c r="L76" s="266"/>
      <c r="M76" s="266"/>
    </row>
    <row r="77" spans="1:13">
      <c r="A77" s="25"/>
      <c r="B77" s="46"/>
      <c r="C77" s="25"/>
      <c r="F77" s="266"/>
      <c r="G77" s="266"/>
      <c r="H77" s="266"/>
      <c r="I77" s="266"/>
      <c r="J77" s="266"/>
      <c r="K77" s="266"/>
      <c r="L77" s="266"/>
      <c r="M77" s="266"/>
    </row>
    <row r="78" spans="1:13">
      <c r="A78" s="54" t="s">
        <v>364</v>
      </c>
      <c r="B78" s="64" t="s">
        <v>360</v>
      </c>
      <c r="C78" s="25"/>
      <c r="F78" s="266"/>
      <c r="G78" s="266"/>
      <c r="H78" s="266"/>
      <c r="I78" s="266"/>
      <c r="J78" s="266"/>
      <c r="K78" s="266"/>
      <c r="L78" s="266"/>
      <c r="M78" s="266"/>
    </row>
    <row r="79" spans="1:13">
      <c r="A79" s="54" t="s">
        <v>365</v>
      </c>
      <c r="B79" s="63">
        <f xml:space="preserve"> (B71 - B73)/ 2</f>
        <v>7500</v>
      </c>
      <c r="C79" s="25" t="s">
        <v>42</v>
      </c>
      <c r="F79" s="266"/>
      <c r="G79" s="266"/>
      <c r="H79" s="266"/>
      <c r="I79" s="266"/>
      <c r="J79" s="266"/>
      <c r="K79" s="266"/>
      <c r="L79" s="266"/>
      <c r="M79" s="266"/>
    </row>
    <row r="80" spans="1:13">
      <c r="B80" s="58"/>
      <c r="F80" s="266"/>
      <c r="G80" s="266"/>
      <c r="H80" s="266"/>
      <c r="I80" s="266"/>
      <c r="J80" s="266"/>
      <c r="K80" s="266"/>
      <c r="L80" s="266"/>
      <c r="M80" s="266"/>
    </row>
    <row r="81" spans="1:13">
      <c r="B81" s="58"/>
      <c r="F81" s="266"/>
      <c r="G81" s="266"/>
      <c r="H81" s="266"/>
      <c r="I81" s="266"/>
      <c r="J81" s="266"/>
      <c r="K81" s="266"/>
      <c r="L81" s="266"/>
      <c r="M81" s="266"/>
    </row>
    <row r="82" spans="1:13">
      <c r="B82" s="58"/>
      <c r="F82" s="266"/>
      <c r="G82" s="266"/>
      <c r="H82" s="266"/>
      <c r="I82" s="266"/>
      <c r="J82" s="266"/>
      <c r="K82" s="266"/>
      <c r="L82" s="266"/>
      <c r="M82" s="266"/>
    </row>
    <row r="83" spans="1:13">
      <c r="A83" s="46" t="s">
        <v>383</v>
      </c>
      <c r="B83" s="64" t="s">
        <v>335</v>
      </c>
      <c r="F83" s="266"/>
      <c r="G83" s="266"/>
      <c r="H83" s="266"/>
      <c r="I83" s="266"/>
      <c r="J83" s="266"/>
      <c r="K83" s="266"/>
      <c r="L83" s="266"/>
      <c r="M83" s="266"/>
    </row>
    <row r="84" spans="1:13">
      <c r="A84" s="54" t="s">
        <v>114</v>
      </c>
      <c r="B84" s="64" t="s">
        <v>290</v>
      </c>
      <c r="F84" s="266"/>
      <c r="G84" s="266"/>
      <c r="H84" s="266"/>
      <c r="I84" s="266"/>
      <c r="J84" s="266"/>
      <c r="K84" s="266"/>
      <c r="L84" s="266"/>
      <c r="M84" s="266"/>
    </row>
    <row r="85" spans="1:13">
      <c r="A85" s="54" t="s">
        <v>291</v>
      </c>
      <c r="B85" s="64">
        <f>B46/B45</f>
        <v>1.125</v>
      </c>
      <c r="F85" s="266"/>
      <c r="G85" s="266"/>
      <c r="H85" s="266"/>
      <c r="I85" s="266"/>
      <c r="J85" s="266"/>
      <c r="K85" s="266"/>
      <c r="L85" s="266"/>
      <c r="M85" s="266"/>
    </row>
    <row r="86" spans="1:13">
      <c r="A86" s="54" t="s">
        <v>292</v>
      </c>
      <c r="B86" s="64">
        <f>B47/B45</f>
        <v>0.5</v>
      </c>
      <c r="F86" s="266"/>
      <c r="G86" s="266"/>
      <c r="H86" s="266"/>
      <c r="I86" s="266"/>
      <c r="J86" s="266"/>
      <c r="K86" s="266"/>
      <c r="L86" s="266"/>
      <c r="M86" s="266"/>
    </row>
    <row r="87" spans="1:13" ht="13.5" thickBot="1">
      <c r="A87" s="49" t="s">
        <v>366</v>
      </c>
      <c r="B87" s="84" t="s">
        <v>121</v>
      </c>
      <c r="F87" s="266"/>
      <c r="G87" s="266"/>
      <c r="H87" s="266"/>
      <c r="I87" s="266"/>
      <c r="J87" s="266"/>
      <c r="K87" s="266"/>
      <c r="L87" s="266"/>
      <c r="M87" s="266"/>
    </row>
    <row r="88" spans="1:13">
      <c r="A88" s="49" t="s">
        <v>26</v>
      </c>
      <c r="B88" s="270">
        <v>1.012</v>
      </c>
      <c r="F88" s="266"/>
      <c r="G88" s="266"/>
      <c r="H88" s="266"/>
      <c r="I88" s="266"/>
      <c r="J88" s="266"/>
      <c r="K88" s="266"/>
      <c r="L88" s="266"/>
      <c r="M88" s="266"/>
    </row>
    <row r="89" spans="1:13" ht="13.5" thickBot="1">
      <c r="A89" s="49" t="s">
        <v>27</v>
      </c>
      <c r="B89" s="271">
        <v>-0.221</v>
      </c>
      <c r="F89" s="266"/>
      <c r="G89" s="266"/>
      <c r="H89" s="266"/>
      <c r="I89" s="266"/>
      <c r="J89" s="266"/>
      <c r="K89" s="266"/>
      <c r="L89" s="266"/>
      <c r="M89" s="266"/>
    </row>
    <row r="90" spans="1:13">
      <c r="B90" s="84" t="s">
        <v>481</v>
      </c>
      <c r="F90" s="266"/>
      <c r="G90" s="266"/>
      <c r="H90" s="266"/>
      <c r="I90" s="266"/>
      <c r="J90" s="266"/>
      <c r="K90" s="266"/>
      <c r="L90" s="266"/>
      <c r="M90" s="266"/>
    </row>
    <row r="91" spans="1:13">
      <c r="A91" s="54" t="s">
        <v>367</v>
      </c>
      <c r="B91" s="64">
        <f>B88*(B86^B89)</f>
        <v>1.1795276925121743</v>
      </c>
      <c r="F91" s="266"/>
      <c r="G91" s="266"/>
      <c r="H91" s="266"/>
      <c r="I91" s="266"/>
      <c r="J91" s="266"/>
      <c r="K91" s="266"/>
      <c r="L91" s="266"/>
      <c r="M91" s="266"/>
    </row>
    <row r="92" spans="1:13">
      <c r="A92" s="49"/>
      <c r="B92" s="47"/>
      <c r="F92" s="266"/>
      <c r="G92" s="266"/>
      <c r="H92" s="266"/>
      <c r="I92" s="266"/>
      <c r="J92" s="266"/>
      <c r="K92" s="266"/>
      <c r="L92" s="266"/>
      <c r="M92" s="266"/>
    </row>
    <row r="93" spans="1:13">
      <c r="A93" s="46" t="s">
        <v>356</v>
      </c>
      <c r="B93" s="47"/>
      <c r="F93" s="266"/>
      <c r="G93" s="266"/>
      <c r="H93" s="266"/>
      <c r="I93" s="266"/>
      <c r="J93" s="266"/>
      <c r="K93" s="266"/>
      <c r="L93" s="266"/>
      <c r="M93" s="266"/>
    </row>
    <row r="94" spans="1:13">
      <c r="A94" s="54" t="s">
        <v>357</v>
      </c>
      <c r="B94" s="62" t="s">
        <v>335</v>
      </c>
      <c r="C94" s="25"/>
      <c r="F94" s="266"/>
      <c r="G94" s="266"/>
      <c r="H94" s="266"/>
      <c r="I94" s="266"/>
      <c r="J94" s="266"/>
      <c r="K94" s="266"/>
      <c r="L94" s="266"/>
      <c r="M94" s="266"/>
    </row>
    <row r="95" spans="1:13">
      <c r="A95" s="54" t="s">
        <v>358</v>
      </c>
      <c r="B95" s="63">
        <f>B50</f>
        <v>80000</v>
      </c>
      <c r="C95" s="25" t="s">
        <v>42</v>
      </c>
      <c r="E95" t="s">
        <v>54</v>
      </c>
      <c r="F95" s="266"/>
      <c r="G95" s="266"/>
      <c r="H95" s="266"/>
      <c r="I95" s="266"/>
      <c r="J95" s="266"/>
      <c r="K95" s="266"/>
      <c r="L95" s="266"/>
      <c r="M95" s="266"/>
    </row>
    <row r="96" spans="1:13" ht="13.5" thickBot="1">
      <c r="B96" s="84" t="s">
        <v>121</v>
      </c>
      <c r="F96" s="266"/>
      <c r="G96" s="266"/>
      <c r="H96" s="266"/>
      <c r="I96" s="266"/>
      <c r="J96" s="266"/>
      <c r="K96" s="266"/>
      <c r="L96" s="266"/>
      <c r="M96" s="266"/>
    </row>
    <row r="97" spans="1:13" ht="13.5" thickBot="1">
      <c r="A97" s="49" t="s">
        <v>131</v>
      </c>
      <c r="B97" s="272">
        <v>0.08</v>
      </c>
      <c r="F97" s="266"/>
      <c r="G97" s="266"/>
      <c r="H97" s="266"/>
      <c r="I97" s="266"/>
      <c r="J97" s="266"/>
      <c r="K97" s="266"/>
      <c r="L97" s="266"/>
      <c r="M97" s="266"/>
    </row>
    <row r="98" spans="1:13">
      <c r="B98" s="84" t="s">
        <v>447</v>
      </c>
      <c r="F98" s="266"/>
      <c r="G98" s="266"/>
      <c r="H98" s="266"/>
      <c r="I98" s="266"/>
      <c r="J98" s="266"/>
      <c r="K98" s="266"/>
      <c r="L98" s="266"/>
      <c r="M98" s="266"/>
    </row>
    <row r="99" spans="1:13">
      <c r="A99" s="54" t="s">
        <v>134</v>
      </c>
      <c r="B99" s="64" t="s">
        <v>293</v>
      </c>
      <c r="F99" s="266"/>
      <c r="G99" s="266"/>
      <c r="H99" s="266"/>
      <c r="I99" s="266"/>
      <c r="J99" s="266"/>
      <c r="K99" s="266"/>
      <c r="L99" s="266"/>
      <c r="M99" s="266"/>
    </row>
    <row r="100" spans="1:13">
      <c r="A100" s="54" t="s">
        <v>134</v>
      </c>
      <c r="B100" s="71">
        <f>1/(1+B97/B47^0.5)</f>
        <v>0.89836194794383339</v>
      </c>
      <c r="F100" s="266"/>
      <c r="G100" s="266"/>
      <c r="H100" s="266"/>
      <c r="I100" s="266"/>
      <c r="J100" s="266"/>
      <c r="K100" s="266"/>
      <c r="L100" s="266"/>
      <c r="M100" s="266"/>
    </row>
    <row r="101" spans="1:13">
      <c r="A101" s="54" t="s">
        <v>296</v>
      </c>
      <c r="B101" s="64" t="s">
        <v>297</v>
      </c>
      <c r="F101" s="266"/>
      <c r="G101" s="266"/>
      <c r="H101" s="266"/>
      <c r="I101" s="266"/>
      <c r="J101" s="266"/>
      <c r="K101" s="266"/>
      <c r="L101" s="266"/>
      <c r="M101" s="266"/>
    </row>
    <row r="102" spans="1:13">
      <c r="A102" s="54" t="s">
        <v>296</v>
      </c>
      <c r="B102" s="64">
        <f>1+B100*(B91-1)</f>
        <v>1.1612808475550984</v>
      </c>
      <c r="F102" s="266"/>
      <c r="G102" s="266"/>
      <c r="H102" s="266"/>
      <c r="I102" s="266"/>
      <c r="J102" s="266"/>
      <c r="K102" s="266"/>
      <c r="L102" s="266"/>
      <c r="M102" s="266"/>
    </row>
    <row r="103" spans="1:13">
      <c r="F103" s="266"/>
      <c r="G103" s="266"/>
      <c r="H103" s="266"/>
      <c r="I103" s="266"/>
      <c r="J103" s="266"/>
      <c r="K103" s="266"/>
      <c r="L103" s="266"/>
      <c r="M103" s="266"/>
    </row>
    <row r="104" spans="1:13">
      <c r="A104" s="46" t="s">
        <v>361</v>
      </c>
      <c r="B104" s="47"/>
      <c r="E104" s="51" t="s">
        <v>1</v>
      </c>
      <c r="F104" s="266"/>
      <c r="G104" s="266"/>
      <c r="H104" s="266"/>
      <c r="I104" s="266"/>
      <c r="J104" s="266"/>
      <c r="K104" s="266"/>
      <c r="L104" s="266"/>
      <c r="M104" s="266"/>
    </row>
    <row r="105" spans="1:13">
      <c r="A105" s="54" t="s">
        <v>369</v>
      </c>
      <c r="B105" s="64" t="s">
        <v>372</v>
      </c>
      <c r="C105" s="25"/>
      <c r="F105" s="266"/>
      <c r="G105" s="266"/>
      <c r="H105" s="266"/>
      <c r="I105" s="266"/>
      <c r="J105" s="266"/>
      <c r="K105" s="266"/>
      <c r="L105" s="266"/>
      <c r="M105" s="266"/>
    </row>
    <row r="106" spans="1:13">
      <c r="A106" s="54" t="s">
        <v>368</v>
      </c>
      <c r="B106" s="63">
        <f>B102*B76</f>
        <v>10451.527627995885</v>
      </c>
      <c r="C106" s="25" t="s">
        <v>42</v>
      </c>
      <c r="F106" s="266"/>
      <c r="G106" s="266"/>
      <c r="H106" s="266"/>
      <c r="I106" s="266"/>
      <c r="J106" s="266"/>
      <c r="K106" s="266"/>
      <c r="L106" s="266"/>
      <c r="M106" s="266"/>
    </row>
    <row r="107" spans="1:13">
      <c r="A107" s="25"/>
      <c r="B107" s="25"/>
      <c r="C107" s="25"/>
      <c r="F107" s="266"/>
      <c r="G107" s="266"/>
      <c r="H107" s="266"/>
      <c r="I107" s="266"/>
      <c r="J107" s="266"/>
      <c r="K107" s="266"/>
      <c r="L107" s="266"/>
      <c r="M107" s="266"/>
    </row>
    <row r="108" spans="1:13">
      <c r="A108" s="54" t="s">
        <v>370</v>
      </c>
      <c r="B108" s="64" t="s">
        <v>373</v>
      </c>
      <c r="C108" s="25"/>
      <c r="F108" s="266"/>
      <c r="G108" s="266"/>
      <c r="H108" s="266"/>
      <c r="I108" s="266"/>
      <c r="J108" s="266"/>
      <c r="K108" s="266"/>
      <c r="L108" s="266"/>
      <c r="M108" s="266"/>
    </row>
    <row r="109" spans="1:13">
      <c r="A109" s="54" t="s">
        <v>371</v>
      </c>
      <c r="B109" s="63">
        <f>B102*B79</f>
        <v>8709.6063566632383</v>
      </c>
      <c r="C109" s="25" t="s">
        <v>42</v>
      </c>
      <c r="F109" s="266"/>
      <c r="G109" s="266"/>
      <c r="H109" s="266"/>
      <c r="I109" s="266"/>
      <c r="J109" s="266"/>
      <c r="K109" s="266"/>
      <c r="L109" s="266"/>
      <c r="M109" s="266"/>
    </row>
    <row r="110" spans="1:13" ht="15">
      <c r="E110" s="28"/>
      <c r="F110" s="266"/>
      <c r="G110" s="266"/>
      <c r="H110" s="266"/>
      <c r="I110" s="266"/>
      <c r="J110" s="266"/>
      <c r="K110" s="266"/>
      <c r="L110" s="266"/>
      <c r="M110" s="266"/>
    </row>
    <row r="111" spans="1:13" ht="15">
      <c r="A111" s="183" t="s">
        <v>379</v>
      </c>
      <c r="B111" s="41"/>
      <c r="C111" s="41"/>
      <c r="D111" s="27"/>
      <c r="E111" s="28"/>
      <c r="F111" s="266"/>
      <c r="G111" s="266"/>
      <c r="H111" s="266"/>
      <c r="I111" s="266"/>
      <c r="J111" s="266"/>
      <c r="K111" s="266"/>
      <c r="L111" s="266"/>
      <c r="M111" s="266"/>
    </row>
    <row r="112" spans="1:13" ht="15">
      <c r="A112" s="183" t="s">
        <v>374</v>
      </c>
      <c r="B112" s="41"/>
      <c r="C112" s="41"/>
      <c r="D112" s="27"/>
      <c r="E112" s="28"/>
      <c r="F112" s="266"/>
      <c r="G112" s="266"/>
      <c r="H112" s="266"/>
      <c r="I112" s="266"/>
      <c r="J112" s="266"/>
      <c r="K112" s="266"/>
      <c r="L112" s="266"/>
      <c r="M112" s="266"/>
    </row>
    <row r="113" spans="1:13" ht="15">
      <c r="A113" s="54" t="s">
        <v>375</v>
      </c>
      <c r="B113" s="25" t="s">
        <v>227</v>
      </c>
      <c r="C113" s="41"/>
      <c r="D113" s="27"/>
      <c r="E113" s="28"/>
      <c r="F113" s="266"/>
      <c r="G113" s="266"/>
      <c r="H113" s="266"/>
      <c r="I113" s="266"/>
      <c r="J113" s="266"/>
      <c r="K113" s="266"/>
      <c r="L113" s="266"/>
      <c r="M113" s="266"/>
    </row>
    <row r="114" spans="1:13">
      <c r="A114" s="54" t="s">
        <v>376</v>
      </c>
      <c r="B114" s="25" t="s">
        <v>377</v>
      </c>
      <c r="C114" s="41"/>
      <c r="F114" s="266"/>
      <c r="G114" s="266"/>
      <c r="H114" s="266"/>
      <c r="I114" s="266"/>
      <c r="J114" s="266"/>
      <c r="K114" s="266"/>
      <c r="L114" s="266"/>
      <c r="M114" s="266"/>
    </row>
    <row r="115" spans="1:13">
      <c r="A115" s="54" t="s">
        <v>378</v>
      </c>
      <c r="B115" s="63">
        <f>B106</f>
        <v>10451.527627995885</v>
      </c>
      <c r="C115" s="25" t="s">
        <v>42</v>
      </c>
      <c r="F115" s="266"/>
      <c r="G115" s="266"/>
      <c r="H115" s="266"/>
      <c r="I115" s="266"/>
      <c r="J115" s="266"/>
      <c r="K115" s="266"/>
      <c r="L115" s="266"/>
      <c r="M115" s="266"/>
    </row>
    <row r="116" spans="1:13">
      <c r="F116" s="266"/>
      <c r="G116" s="266"/>
      <c r="H116" s="266"/>
      <c r="I116" s="266"/>
      <c r="J116" s="266"/>
      <c r="K116" s="266"/>
      <c r="L116" s="266"/>
      <c r="M116" s="266"/>
    </row>
    <row r="117" spans="1:13">
      <c r="A117" s="54" t="s">
        <v>380</v>
      </c>
      <c r="B117" s="25" t="s">
        <v>381</v>
      </c>
      <c r="F117" s="266"/>
      <c r="G117" s="266"/>
      <c r="H117" s="266"/>
      <c r="I117" s="266"/>
      <c r="J117" s="266"/>
      <c r="K117" s="266"/>
      <c r="L117" s="266"/>
      <c r="M117" s="266"/>
    </row>
    <row r="118" spans="1:13">
      <c r="A118" s="54" t="s">
        <v>382</v>
      </c>
      <c r="B118" s="63">
        <f>B109</f>
        <v>8709.6063566632383</v>
      </c>
      <c r="C118" s="25" t="s">
        <v>42</v>
      </c>
      <c r="F118" s="266"/>
      <c r="G118" s="266"/>
      <c r="H118" s="266"/>
      <c r="I118" s="266"/>
      <c r="J118" s="266"/>
      <c r="K118" s="266"/>
      <c r="L118" s="266"/>
      <c r="M118" s="266"/>
    </row>
    <row r="119" spans="1:13">
      <c r="F119" s="266"/>
      <c r="G119" s="266"/>
      <c r="H119" s="266"/>
      <c r="I119" s="266"/>
      <c r="J119" s="266"/>
      <c r="K119" s="266"/>
      <c r="L119" s="266"/>
      <c r="M119" s="266"/>
    </row>
    <row r="120" spans="1:13">
      <c r="A120" s="41" t="s">
        <v>384</v>
      </c>
      <c r="F120" s="266"/>
      <c r="G120" s="266"/>
      <c r="H120" s="266"/>
      <c r="I120" s="266"/>
      <c r="J120" s="266"/>
      <c r="K120" s="266"/>
      <c r="L120" s="266"/>
      <c r="M120" s="266"/>
    </row>
    <row r="121" spans="1:13">
      <c r="A121" s="41" t="s">
        <v>385</v>
      </c>
      <c r="F121" s="266"/>
      <c r="G121" s="266"/>
      <c r="H121" s="266"/>
      <c r="I121" s="266"/>
      <c r="J121" s="266"/>
      <c r="K121" s="266"/>
      <c r="L121" s="266"/>
      <c r="M121" s="266"/>
    </row>
    <row r="122" spans="1:13">
      <c r="F122" s="266"/>
      <c r="G122" s="266"/>
      <c r="H122" s="266"/>
      <c r="I122" s="266"/>
      <c r="J122" s="266"/>
      <c r="K122" s="266"/>
      <c r="L122" s="266"/>
      <c r="M122" s="266"/>
    </row>
    <row r="123" spans="1:13">
      <c r="A123" s="46" t="s">
        <v>387</v>
      </c>
      <c r="B123" s="47"/>
      <c r="F123" s="266"/>
      <c r="G123" s="266"/>
      <c r="H123" s="266"/>
      <c r="I123" s="266"/>
      <c r="J123" s="266"/>
      <c r="K123" s="266"/>
      <c r="L123" s="266"/>
      <c r="M123" s="266"/>
    </row>
    <row r="124" spans="1:13">
      <c r="A124" s="54" t="s">
        <v>301</v>
      </c>
      <c r="B124" s="62" t="s">
        <v>302</v>
      </c>
      <c r="C124" s="25" t="s">
        <v>386</v>
      </c>
      <c r="D124" s="25"/>
      <c r="F124" s="266"/>
      <c r="G124" s="266"/>
      <c r="H124" s="266"/>
      <c r="I124" s="266"/>
      <c r="J124" s="266"/>
      <c r="K124" s="266"/>
      <c r="L124" s="266"/>
      <c r="M124" s="266"/>
    </row>
    <row r="125" spans="1:13">
      <c r="A125" s="54" t="s">
        <v>74</v>
      </c>
      <c r="B125" s="55">
        <f>0.5*B50</f>
        <v>40000</v>
      </c>
      <c r="C125" s="25" t="s">
        <v>42</v>
      </c>
      <c r="F125" s="266"/>
      <c r="G125" s="266"/>
      <c r="H125" s="266"/>
      <c r="I125" s="266"/>
      <c r="J125" s="266"/>
      <c r="K125" s="266"/>
      <c r="L125" s="266"/>
      <c r="M125" s="266"/>
    </row>
    <row r="126" spans="1:13">
      <c r="A126" s="49"/>
      <c r="B126" s="47"/>
      <c r="F126" s="266"/>
      <c r="G126" s="266"/>
      <c r="H126" s="266"/>
      <c r="I126" s="266"/>
      <c r="J126" s="266"/>
      <c r="K126" s="266"/>
      <c r="L126" s="266"/>
      <c r="M126" s="266"/>
    </row>
    <row r="127" spans="1:13">
      <c r="A127" s="54" t="s">
        <v>303</v>
      </c>
      <c r="B127" s="64" t="s">
        <v>82</v>
      </c>
      <c r="C127" s="25"/>
      <c r="D127" t="s">
        <v>304</v>
      </c>
      <c r="F127" s="266"/>
      <c r="G127" s="266"/>
      <c r="H127" s="266"/>
      <c r="I127" s="266"/>
      <c r="J127" s="266"/>
      <c r="K127" s="266"/>
      <c r="L127" s="266"/>
      <c r="M127" s="266"/>
    </row>
    <row r="128" spans="1:13">
      <c r="A128" s="54" t="s">
        <v>432</v>
      </c>
      <c r="B128" s="62" t="s">
        <v>305</v>
      </c>
      <c r="C128" s="25"/>
      <c r="D128" s="49" t="s">
        <v>132</v>
      </c>
      <c r="E128" s="47">
        <f>B45</f>
        <v>1</v>
      </c>
      <c r="F128" s="266"/>
      <c r="G128" s="266"/>
      <c r="H128" s="266"/>
      <c r="I128" s="266"/>
      <c r="J128" s="266"/>
      <c r="K128" s="266"/>
      <c r="L128" s="266"/>
      <c r="M128" s="266"/>
    </row>
    <row r="129" spans="1:13">
      <c r="A129" s="54" t="s">
        <v>65</v>
      </c>
      <c r="B129" s="62">
        <f>0.05*B45*B44</f>
        <v>0.1</v>
      </c>
      <c r="C129" s="25" t="s">
        <v>269</v>
      </c>
      <c r="D129" s="49" t="s">
        <v>27</v>
      </c>
      <c r="E129" s="47">
        <f>B44</f>
        <v>2</v>
      </c>
      <c r="F129" s="266"/>
      <c r="G129" s="266"/>
      <c r="H129" s="266"/>
      <c r="I129" s="266"/>
      <c r="J129" s="266"/>
      <c r="K129" s="266"/>
      <c r="L129" s="266"/>
      <c r="M129" s="266"/>
    </row>
    <row r="130" spans="1:13">
      <c r="A130" s="49"/>
      <c r="B130" s="47"/>
      <c r="F130" s="266"/>
      <c r="G130" s="266"/>
      <c r="H130" s="266"/>
      <c r="I130" s="266"/>
      <c r="J130" s="266"/>
      <c r="K130" s="266"/>
      <c r="L130" s="266"/>
      <c r="M130" s="266"/>
    </row>
    <row r="131" spans="1:13">
      <c r="A131" s="54" t="s">
        <v>306</v>
      </c>
      <c r="B131" s="57">
        <f>(B129/0.0766)^0.5</f>
        <v>1.1425773622475752</v>
      </c>
      <c r="C131" s="25" t="s">
        <v>30</v>
      </c>
      <c r="F131" s="266"/>
      <c r="G131" s="266"/>
      <c r="H131" s="266"/>
      <c r="I131" s="266"/>
      <c r="J131" s="266"/>
      <c r="K131" s="266"/>
      <c r="L131" s="266"/>
      <c r="M131" s="266"/>
    </row>
    <row r="132" spans="1:13">
      <c r="A132" s="54" t="s">
        <v>31</v>
      </c>
      <c r="B132" s="64" t="s">
        <v>308</v>
      </c>
      <c r="C132" s="25"/>
      <c r="F132" s="266"/>
      <c r="G132" s="266"/>
      <c r="H132" s="266"/>
      <c r="I132" s="266"/>
      <c r="J132" s="266"/>
      <c r="K132" s="266"/>
      <c r="L132" s="266"/>
      <c r="M132" s="266"/>
    </row>
    <row r="133" spans="1:13">
      <c r="A133" s="54" t="s">
        <v>31</v>
      </c>
      <c r="B133" s="57">
        <f>0.869*B131^-0.097</f>
        <v>0.85783719277062054</v>
      </c>
      <c r="C133" s="25"/>
      <c r="F133" s="266"/>
      <c r="G133" s="266"/>
      <c r="H133" s="266"/>
      <c r="I133" s="266"/>
      <c r="J133" s="266"/>
      <c r="K133" s="266"/>
      <c r="L133" s="266"/>
      <c r="M133" s="266"/>
    </row>
    <row r="134" spans="1:13">
      <c r="A134" s="49"/>
      <c r="B134" s="47"/>
      <c r="F134" s="266"/>
      <c r="G134" s="266"/>
      <c r="H134" s="266"/>
      <c r="I134" s="266"/>
      <c r="J134" s="266"/>
      <c r="K134" s="266"/>
      <c r="L134" s="266"/>
      <c r="M134" s="266"/>
    </row>
    <row r="135" spans="1:13" ht="13.5" thickBot="1">
      <c r="A135" s="49" t="s">
        <v>707</v>
      </c>
      <c r="B135" s="84" t="s">
        <v>121</v>
      </c>
      <c r="F135" s="266"/>
      <c r="G135" s="266"/>
      <c r="H135" s="266"/>
      <c r="I135" s="266"/>
      <c r="J135" s="266"/>
      <c r="K135" s="266"/>
      <c r="L135" s="266"/>
      <c r="M135" s="266"/>
    </row>
    <row r="136" spans="1:13">
      <c r="A136" s="49" t="s">
        <v>78</v>
      </c>
      <c r="B136" s="273">
        <v>1</v>
      </c>
      <c r="F136" s="266"/>
      <c r="G136" s="266"/>
      <c r="H136" s="266"/>
      <c r="I136" s="266"/>
      <c r="J136" s="266"/>
      <c r="K136" s="266"/>
      <c r="L136" s="266"/>
      <c r="M136" s="266"/>
    </row>
    <row r="137" spans="1:13">
      <c r="A137" s="49" t="s">
        <v>26</v>
      </c>
      <c r="B137" s="274">
        <v>2.7</v>
      </c>
      <c r="F137" s="266"/>
      <c r="G137" s="266"/>
      <c r="H137" s="266"/>
      <c r="I137" s="266"/>
      <c r="J137" s="266"/>
      <c r="K137" s="266"/>
      <c r="L137" s="266"/>
      <c r="M137" s="266"/>
    </row>
    <row r="138" spans="1:13" ht="13.5" thickBot="1">
      <c r="A138" s="49" t="s">
        <v>27</v>
      </c>
      <c r="B138" s="275">
        <v>-0.26500000000000001</v>
      </c>
      <c r="F138" s="266"/>
      <c r="G138" s="266"/>
      <c r="H138" s="266"/>
      <c r="I138" s="266"/>
      <c r="J138" s="266"/>
      <c r="K138" s="266"/>
      <c r="L138" s="266"/>
      <c r="M138" s="266"/>
    </row>
    <row r="139" spans="1:13">
      <c r="B139" s="84" t="s">
        <v>447</v>
      </c>
      <c r="D139" s="49" t="s">
        <v>309</v>
      </c>
      <c r="F139" s="266"/>
      <c r="G139" s="266"/>
      <c r="H139" s="266"/>
      <c r="I139" s="266"/>
      <c r="J139" s="266"/>
      <c r="K139" s="266"/>
      <c r="L139" s="266"/>
      <c r="M139" s="266"/>
    </row>
    <row r="140" spans="1:13">
      <c r="A140" s="54" t="s">
        <v>28</v>
      </c>
      <c r="B140" s="62" t="s">
        <v>310</v>
      </c>
      <c r="D140" s="49" t="s">
        <v>29</v>
      </c>
      <c r="E140" t="s">
        <v>133</v>
      </c>
      <c r="F140" s="266"/>
      <c r="G140" s="266"/>
      <c r="H140" s="266"/>
      <c r="I140" s="266"/>
      <c r="J140" s="266"/>
      <c r="K140" s="266"/>
      <c r="L140" s="266"/>
      <c r="M140" s="266"/>
    </row>
    <row r="141" spans="1:13">
      <c r="A141" s="54" t="s">
        <v>28</v>
      </c>
      <c r="B141" s="57">
        <f>B137*(B50/1000)^B138</f>
        <v>0.84536627400713482</v>
      </c>
      <c r="F141" s="266"/>
      <c r="G141" s="266"/>
      <c r="H141" s="266"/>
      <c r="I141" s="266"/>
      <c r="J141" s="266"/>
      <c r="K141" s="266"/>
      <c r="L141" s="266"/>
      <c r="M141" s="266"/>
    </row>
    <row r="142" spans="1:13" ht="13.5" thickBot="1">
      <c r="A142" s="49"/>
      <c r="B142" s="84" t="s">
        <v>121</v>
      </c>
      <c r="F142" s="266"/>
      <c r="G142" s="266"/>
      <c r="H142" s="266"/>
      <c r="I142" s="266"/>
      <c r="J142" s="266"/>
      <c r="K142" s="266"/>
      <c r="L142" s="266"/>
      <c r="M142" s="266"/>
    </row>
    <row r="143" spans="1:13">
      <c r="A143" s="49" t="s">
        <v>88</v>
      </c>
      <c r="B143" s="273">
        <v>1</v>
      </c>
      <c r="F143" s="266"/>
      <c r="G143" s="266"/>
      <c r="H143" s="266"/>
      <c r="I143" s="266"/>
      <c r="J143" s="266"/>
      <c r="K143" s="266"/>
      <c r="L143" s="266"/>
      <c r="M143" s="266"/>
    </row>
    <row r="144" spans="1:13">
      <c r="A144" s="49" t="s">
        <v>54</v>
      </c>
      <c r="B144" s="274"/>
      <c r="F144" s="266"/>
      <c r="G144" s="266"/>
      <c r="H144" s="266"/>
      <c r="I144" s="266"/>
      <c r="J144" s="266"/>
      <c r="K144" s="266"/>
      <c r="L144" s="266"/>
      <c r="M144" s="266"/>
    </row>
    <row r="145" spans="1:13" ht="13.5" thickBot="1">
      <c r="A145" s="49" t="s">
        <v>41</v>
      </c>
      <c r="B145" s="275">
        <v>0.753</v>
      </c>
      <c r="F145" s="266"/>
      <c r="G145" s="266"/>
      <c r="H145" s="266"/>
      <c r="I145" s="266"/>
      <c r="J145" s="266"/>
      <c r="K145" s="266"/>
      <c r="L145" s="266"/>
      <c r="M145" s="266"/>
    </row>
    <row r="146" spans="1:13">
      <c r="A146" s="49" t="s">
        <v>54</v>
      </c>
      <c r="B146" s="47"/>
      <c r="F146" s="266"/>
      <c r="G146" s="266"/>
      <c r="H146" s="266"/>
      <c r="I146" s="266"/>
      <c r="J146" s="266"/>
      <c r="K146" s="266"/>
      <c r="L146" s="266"/>
      <c r="M146" s="266"/>
    </row>
    <row r="147" spans="1:13">
      <c r="A147" s="46" t="s">
        <v>390</v>
      </c>
      <c r="B147" s="47"/>
      <c r="F147" s="266"/>
      <c r="G147" s="266"/>
      <c r="H147" s="266"/>
      <c r="I147" s="266"/>
      <c r="J147" s="266"/>
      <c r="K147" s="266"/>
      <c r="L147" s="266"/>
      <c r="M147" s="266"/>
    </row>
    <row r="148" spans="1:13">
      <c r="A148" s="54" t="s">
        <v>5</v>
      </c>
      <c r="B148" s="64" t="s">
        <v>692</v>
      </c>
      <c r="F148" s="266"/>
      <c r="G148" s="266"/>
      <c r="H148" s="266"/>
      <c r="I148" s="266"/>
      <c r="J148" s="266"/>
      <c r="K148" s="266"/>
      <c r="L148" s="266"/>
      <c r="M148" s="266"/>
    </row>
    <row r="149" spans="1:13">
      <c r="A149" s="54" t="s">
        <v>5</v>
      </c>
      <c r="B149" s="55">
        <f>B136*B133*B141*B143*B145*B125</f>
        <v>21842.621336480061</v>
      </c>
      <c r="C149" s="25" t="s">
        <v>42</v>
      </c>
      <c r="F149" s="266"/>
      <c r="G149" s="266"/>
      <c r="H149" s="266"/>
      <c r="I149" s="266"/>
      <c r="J149" s="266"/>
      <c r="K149" s="266"/>
      <c r="L149" s="266"/>
      <c r="M149" s="266"/>
    </row>
    <row r="150" spans="1:13">
      <c r="A150" s="49"/>
      <c r="B150" s="47"/>
      <c r="F150" s="266"/>
      <c r="G150" s="266"/>
      <c r="H150" s="266"/>
      <c r="I150" s="266"/>
      <c r="J150" s="266"/>
      <c r="K150" s="266"/>
      <c r="L150" s="266"/>
      <c r="M150" s="266"/>
    </row>
    <row r="151" spans="1:13">
      <c r="A151" s="54" t="s">
        <v>392</v>
      </c>
      <c r="B151" s="55">
        <f>B50</f>
        <v>80000</v>
      </c>
      <c r="C151" s="25" t="s">
        <v>42</v>
      </c>
      <c r="F151" s="266"/>
      <c r="G151" s="266"/>
      <c r="H151" s="266"/>
      <c r="I151" s="266"/>
      <c r="J151" s="266"/>
      <c r="K151" s="266"/>
      <c r="L151" s="266"/>
      <c r="M151" s="266"/>
    </row>
    <row r="152" spans="1:13">
      <c r="F152" s="266"/>
      <c r="G152" s="266"/>
      <c r="H152" s="266"/>
      <c r="I152" s="266"/>
      <c r="J152" s="266"/>
      <c r="K152" s="266"/>
      <c r="L152" s="266"/>
      <c r="M152" s="266"/>
    </row>
    <row r="153" spans="1:13">
      <c r="F153" s="266"/>
      <c r="G153" s="266"/>
      <c r="H153" s="266"/>
      <c r="I153" s="266"/>
      <c r="J153" s="266"/>
      <c r="K153" s="266"/>
      <c r="L153" s="266"/>
      <c r="M153" s="266"/>
    </row>
    <row r="154" spans="1:13">
      <c r="F154" s="266"/>
      <c r="G154" s="266"/>
      <c r="H154" s="266"/>
      <c r="I154" s="266"/>
      <c r="J154" s="266"/>
      <c r="K154" s="266"/>
      <c r="L154" s="266"/>
      <c r="M154" s="266"/>
    </row>
    <row r="155" spans="1:13">
      <c r="E155" s="51" t="s">
        <v>2</v>
      </c>
      <c r="F155" s="266"/>
      <c r="G155" s="266"/>
      <c r="H155" s="266"/>
      <c r="I155" s="266"/>
      <c r="J155" s="266"/>
      <c r="K155" s="266"/>
      <c r="L155" s="266"/>
      <c r="M155" s="266"/>
    </row>
    <row r="156" spans="1:13">
      <c r="F156" s="266"/>
      <c r="G156" s="266"/>
      <c r="H156" s="266"/>
      <c r="I156" s="266"/>
      <c r="J156" s="266"/>
      <c r="K156" s="266"/>
      <c r="L156" s="266"/>
      <c r="M156" s="266"/>
    </row>
    <row r="157" spans="1:13">
      <c r="F157" s="266"/>
      <c r="G157" s="266"/>
      <c r="H157" s="266"/>
      <c r="I157" s="266"/>
      <c r="J157" s="266"/>
      <c r="K157" s="266"/>
      <c r="L157" s="266"/>
      <c r="M157" s="266"/>
    </row>
    <row r="158" spans="1:13">
      <c r="A158" s="46" t="s">
        <v>389</v>
      </c>
      <c r="B158" s="47"/>
      <c r="F158" s="266"/>
      <c r="G158" s="266"/>
      <c r="H158" s="266"/>
      <c r="I158" s="266"/>
      <c r="J158" s="266"/>
      <c r="K158" s="266"/>
      <c r="L158" s="266"/>
      <c r="M158" s="266"/>
    </row>
    <row r="159" spans="1:13">
      <c r="A159" s="58" t="s">
        <v>391</v>
      </c>
      <c r="F159" s="266"/>
      <c r="G159" s="266"/>
      <c r="H159" s="266"/>
      <c r="I159" s="266"/>
      <c r="J159" s="266"/>
      <c r="K159" s="266"/>
      <c r="L159" s="266"/>
      <c r="M159" s="266"/>
    </row>
    <row r="160" spans="1:13">
      <c r="A160" s="58" t="s">
        <v>711</v>
      </c>
      <c r="F160" s="266"/>
      <c r="G160" s="266"/>
      <c r="H160" s="266"/>
      <c r="I160" s="266"/>
      <c r="J160" s="266"/>
      <c r="K160" s="266"/>
      <c r="L160" s="266"/>
      <c r="M160" s="266"/>
    </row>
    <row r="161" spans="1:13">
      <c r="A161" s="58" t="s">
        <v>394</v>
      </c>
      <c r="F161" s="266"/>
      <c r="G161" s="266"/>
      <c r="H161" s="266"/>
      <c r="I161" s="266"/>
      <c r="J161" s="266"/>
      <c r="K161" s="266"/>
      <c r="L161" s="266"/>
      <c r="M161" s="266"/>
    </row>
    <row r="162" spans="1:13">
      <c r="A162" t="s">
        <v>433</v>
      </c>
      <c r="F162" s="266"/>
      <c r="G162" s="266"/>
      <c r="H162" s="266"/>
      <c r="I162" s="266"/>
      <c r="J162" s="266"/>
      <c r="K162" s="266"/>
      <c r="L162" s="266"/>
      <c r="M162" s="266"/>
    </row>
    <row r="163" spans="1:13">
      <c r="A163" t="s">
        <v>54</v>
      </c>
      <c r="F163" s="266"/>
      <c r="G163" s="266"/>
      <c r="H163" s="266"/>
      <c r="I163" s="266"/>
      <c r="J163" s="266"/>
      <c r="K163" s="266"/>
      <c r="L163" s="266"/>
      <c r="M163" s="266"/>
    </row>
    <row r="164" spans="1:13">
      <c r="F164" s="266"/>
      <c r="G164" s="266"/>
      <c r="H164" s="266"/>
      <c r="I164" s="266"/>
      <c r="J164" s="266"/>
      <c r="K164" s="266"/>
      <c r="L164" s="266"/>
      <c r="M164" s="266"/>
    </row>
    <row r="165" spans="1:13">
      <c r="F165" s="266"/>
      <c r="G165" s="266"/>
      <c r="H165" s="266"/>
      <c r="I165" s="266"/>
      <c r="J165" s="266"/>
      <c r="K165" s="266"/>
      <c r="L165" s="266"/>
      <c r="M165" s="266"/>
    </row>
    <row r="166" spans="1:13">
      <c r="F166" s="266"/>
      <c r="G166" s="266"/>
      <c r="H166" s="266"/>
      <c r="I166" s="266"/>
      <c r="J166" s="266"/>
      <c r="K166" s="266"/>
      <c r="L166" s="266"/>
      <c r="M166" s="266"/>
    </row>
    <row r="167" spans="1:13">
      <c r="F167" s="266"/>
      <c r="G167" s="266"/>
      <c r="H167" s="266"/>
      <c r="I167" s="266"/>
      <c r="J167" s="266"/>
      <c r="K167" s="266"/>
      <c r="L167" s="266"/>
      <c r="M167" s="266"/>
    </row>
    <row r="168" spans="1:13">
      <c r="F168" s="266"/>
      <c r="G168" s="266"/>
      <c r="H168" s="266"/>
      <c r="I168" s="266"/>
      <c r="J168" s="266"/>
      <c r="K168" s="266"/>
      <c r="L168" s="266"/>
      <c r="M168" s="266"/>
    </row>
    <row r="169" spans="1:13">
      <c r="F169" s="266"/>
      <c r="G169" s="266"/>
      <c r="H169" s="266"/>
      <c r="I169" s="266"/>
      <c r="J169" s="266"/>
      <c r="K169" s="266"/>
      <c r="L169" s="266"/>
      <c r="M169" s="266"/>
    </row>
    <row r="170" spans="1:13">
      <c r="F170" s="266"/>
      <c r="G170" s="266"/>
      <c r="H170" s="266"/>
      <c r="I170" s="266"/>
      <c r="J170" s="266"/>
      <c r="K170" s="266"/>
      <c r="L170" s="266"/>
      <c r="M170" s="266"/>
    </row>
    <row r="171" spans="1:13">
      <c r="F171" s="266"/>
      <c r="G171" s="266"/>
      <c r="H171" s="266"/>
      <c r="I171" s="266"/>
      <c r="J171" s="266"/>
      <c r="K171" s="266"/>
      <c r="L171" s="266"/>
      <c r="M171" s="266"/>
    </row>
    <row r="172" spans="1:13">
      <c r="F172" s="266"/>
      <c r="G172" s="266"/>
      <c r="H172" s="266"/>
      <c r="I172" s="266"/>
      <c r="J172" s="266"/>
      <c r="K172" s="266"/>
      <c r="L172" s="266"/>
      <c r="M172" s="266"/>
    </row>
    <row r="173" spans="1:13">
      <c r="F173" s="266"/>
      <c r="G173" s="266"/>
      <c r="H173" s="266"/>
      <c r="I173" s="266"/>
      <c r="J173" s="266"/>
      <c r="K173" s="266"/>
      <c r="L173" s="266"/>
      <c r="M173" s="266"/>
    </row>
    <row r="174" spans="1:13">
      <c r="F174" s="266"/>
      <c r="G174" s="266"/>
      <c r="H174" s="266"/>
      <c r="I174" s="266"/>
      <c r="J174" s="266"/>
      <c r="K174" s="266"/>
      <c r="L174" s="266"/>
      <c r="M174" s="266"/>
    </row>
    <row r="175" spans="1:13">
      <c r="F175" s="266"/>
      <c r="G175" s="266"/>
      <c r="H175" s="266"/>
      <c r="I175" s="266"/>
      <c r="J175" s="266"/>
      <c r="K175" s="266"/>
      <c r="L175" s="266"/>
      <c r="M175" s="266"/>
    </row>
    <row r="176" spans="1:13">
      <c r="F176" s="266"/>
      <c r="G176" s="266"/>
      <c r="H176" s="266"/>
      <c r="I176" s="266"/>
      <c r="J176" s="266"/>
      <c r="K176" s="266"/>
      <c r="L176" s="266"/>
      <c r="M176" s="266"/>
    </row>
    <row r="177" spans="1:13">
      <c r="F177" s="266"/>
      <c r="G177" s="266"/>
      <c r="H177" s="266"/>
      <c r="I177" s="266"/>
      <c r="J177" s="266"/>
      <c r="K177" s="266"/>
      <c r="L177" s="266"/>
      <c r="M177" s="266"/>
    </row>
    <row r="178" spans="1:13">
      <c r="F178" s="266"/>
      <c r="G178" s="266"/>
      <c r="H178" s="266"/>
      <c r="I178" s="266"/>
      <c r="J178" s="266"/>
      <c r="K178" s="266"/>
      <c r="L178" s="266"/>
      <c r="M178" s="266"/>
    </row>
    <row r="179" spans="1:13">
      <c r="F179" s="266"/>
      <c r="G179" s="266"/>
      <c r="H179" s="266"/>
      <c r="I179" s="266"/>
      <c r="J179" s="266"/>
      <c r="K179" s="266"/>
      <c r="L179" s="266"/>
      <c r="M179" s="266"/>
    </row>
    <row r="180" spans="1:13">
      <c r="F180" s="266"/>
      <c r="G180" s="266"/>
      <c r="H180" s="266"/>
      <c r="I180" s="266"/>
      <c r="J180" s="266"/>
      <c r="K180" s="266"/>
      <c r="L180" s="266"/>
      <c r="M180" s="266"/>
    </row>
    <row r="181" spans="1:13">
      <c r="F181" s="266"/>
      <c r="G181" s="266"/>
      <c r="H181" s="266"/>
      <c r="I181" s="266"/>
      <c r="J181" s="266"/>
      <c r="K181" s="266"/>
      <c r="L181" s="266"/>
      <c r="M181" s="266"/>
    </row>
    <row r="182" spans="1:13">
      <c r="F182" s="266"/>
      <c r="G182" s="266"/>
      <c r="H182" s="266"/>
      <c r="I182" s="266"/>
      <c r="J182" s="266"/>
      <c r="K182" s="266"/>
      <c r="L182" s="266"/>
      <c r="M182" s="266"/>
    </row>
    <row r="183" spans="1:13">
      <c r="F183" s="266"/>
      <c r="G183" s="266"/>
      <c r="H183" s="266"/>
      <c r="I183" s="266"/>
      <c r="J183" s="266"/>
      <c r="K183" s="266"/>
      <c r="L183" s="266"/>
      <c r="M183" s="266"/>
    </row>
    <row r="184" spans="1:13">
      <c r="A184" s="54" t="s">
        <v>314</v>
      </c>
      <c r="B184" s="64" t="s">
        <v>393</v>
      </c>
      <c r="C184" s="25"/>
      <c r="F184" s="266"/>
      <c r="G184" s="266"/>
      <c r="H184" s="266"/>
      <c r="I184" s="266"/>
      <c r="J184" s="266"/>
      <c r="K184" s="266"/>
      <c r="L184" s="266"/>
      <c r="M184" s="266"/>
    </row>
    <row r="185" spans="1:13">
      <c r="A185" s="54" t="s">
        <v>316</v>
      </c>
      <c r="B185" s="56">
        <f>(B149*B151)/((B118*B151)+(B115*B149))</f>
        <v>1.8889746242391185</v>
      </c>
      <c r="C185" t="s">
        <v>323</v>
      </c>
      <c r="F185" s="266"/>
      <c r="G185" s="266"/>
      <c r="H185" s="266"/>
      <c r="I185" s="266"/>
      <c r="J185" s="266"/>
      <c r="K185" s="266"/>
      <c r="L185" s="266"/>
      <c r="M185" s="266"/>
    </row>
    <row r="186" spans="1:13">
      <c r="F186" s="266"/>
      <c r="G186" s="266"/>
      <c r="H186" s="266"/>
      <c r="I186" s="266"/>
      <c r="J186" s="266"/>
      <c r="K186" s="266"/>
      <c r="L186" s="266"/>
      <c r="M186" s="266"/>
    </row>
    <row r="187" spans="1:13">
      <c r="F187" s="266"/>
      <c r="G187" s="266"/>
      <c r="H187" s="266"/>
      <c r="I187" s="266"/>
      <c r="J187" s="266"/>
      <c r="K187" s="266"/>
      <c r="L187" s="266"/>
      <c r="M187" s="266"/>
    </row>
    <row r="188" spans="1:13">
      <c r="A188" s="46" t="s">
        <v>395</v>
      </c>
      <c r="F188" s="266"/>
      <c r="G188" s="266"/>
      <c r="H188" s="266"/>
      <c r="I188" s="266"/>
      <c r="J188" s="266"/>
      <c r="K188" s="266"/>
      <c r="L188" s="266"/>
      <c r="M188" s="266"/>
    </row>
    <row r="189" spans="1:13">
      <c r="F189" s="266"/>
      <c r="G189" s="266"/>
      <c r="H189" s="266"/>
      <c r="I189" s="266"/>
      <c r="J189" s="266"/>
      <c r="K189" s="266"/>
      <c r="L189" s="266"/>
      <c r="M189" s="266"/>
    </row>
    <row r="190" spans="1:13">
      <c r="A190" s="54" t="s">
        <v>98</v>
      </c>
      <c r="B190" s="62">
        <f>B48</f>
        <v>5</v>
      </c>
      <c r="C190" s="25" t="s">
        <v>294</v>
      </c>
      <c r="D190" s="25"/>
      <c r="F190" s="266"/>
      <c r="G190" s="266"/>
      <c r="H190" s="266"/>
      <c r="I190" s="266"/>
      <c r="J190" s="266"/>
      <c r="K190" s="266"/>
      <c r="L190" s="266"/>
      <c r="M190" s="266"/>
    </row>
    <row r="191" spans="1:13">
      <c r="A191" s="54" t="s">
        <v>317</v>
      </c>
      <c r="B191" s="62">
        <f>B49</f>
        <v>6</v>
      </c>
      <c r="C191" s="25" t="s">
        <v>294</v>
      </c>
      <c r="D191" s="25"/>
      <c r="F191" s="266"/>
      <c r="G191" s="266"/>
      <c r="H191" s="266"/>
      <c r="I191" s="266"/>
      <c r="J191" s="266"/>
      <c r="K191" s="266"/>
      <c r="L191" s="266"/>
      <c r="M191" s="266"/>
    </row>
    <row r="192" spans="1:13">
      <c r="A192" s="54" t="s">
        <v>396</v>
      </c>
      <c r="B192" s="64" t="s">
        <v>388</v>
      </c>
      <c r="C192" s="25"/>
      <c r="D192" s="25"/>
      <c r="F192" s="266"/>
      <c r="G192" s="266"/>
      <c r="H192" s="266"/>
      <c r="I192" s="266"/>
      <c r="J192" s="266"/>
      <c r="K192" s="266"/>
      <c r="L192" s="266"/>
      <c r="M192" s="266"/>
    </row>
    <row r="193" spans="1:13">
      <c r="A193" s="54" t="s">
        <v>397</v>
      </c>
      <c r="B193" s="71">
        <f>(B56/(6*B51*B65))*(B191^3-(3*B190*B191^2)-(B191-B190)^3)</f>
        <v>-5.9583333333333335E-2</v>
      </c>
      <c r="C193" s="25" t="s">
        <v>30</v>
      </c>
      <c r="F193" s="266"/>
      <c r="G193" s="266"/>
      <c r="H193" s="266"/>
      <c r="I193" s="266"/>
      <c r="J193" s="266"/>
      <c r="K193" s="266"/>
      <c r="L193" s="266"/>
      <c r="M193" s="266"/>
    </row>
    <row r="194" spans="1:13">
      <c r="B194" t="s">
        <v>54</v>
      </c>
      <c r="F194" s="266"/>
      <c r="G194" s="266"/>
      <c r="H194" s="266"/>
      <c r="I194" s="266"/>
      <c r="J194" s="266"/>
      <c r="K194" s="266"/>
      <c r="L194" s="266"/>
      <c r="M194" s="266"/>
    </row>
    <row r="195" spans="1:13">
      <c r="F195" s="266"/>
      <c r="G195" s="266"/>
      <c r="H195" s="266"/>
      <c r="I195" s="266"/>
      <c r="J195" s="266"/>
      <c r="K195" s="266"/>
      <c r="L195" s="266"/>
      <c r="M195" s="266"/>
    </row>
    <row r="196" spans="1:13">
      <c r="F196" s="266"/>
      <c r="G196" s="266"/>
      <c r="H196" s="266"/>
      <c r="I196" s="266"/>
      <c r="J196" s="266"/>
      <c r="K196" s="266"/>
      <c r="L196" s="266"/>
      <c r="M196" s="266"/>
    </row>
    <row r="197" spans="1:13" ht="15">
      <c r="A197" s="127" t="s">
        <v>153</v>
      </c>
      <c r="B197" s="128"/>
      <c r="C197" s="128"/>
      <c r="D197" s="128"/>
      <c r="F197" s="266"/>
      <c r="G197" s="266"/>
      <c r="H197" s="266"/>
      <c r="I197" s="266"/>
      <c r="J197" s="266"/>
      <c r="K197" s="266"/>
      <c r="L197" s="266"/>
      <c r="M197" s="266"/>
    </row>
    <row r="198" spans="1:13" ht="15.75">
      <c r="A198" s="129" t="s">
        <v>154</v>
      </c>
      <c r="B198" s="128"/>
      <c r="C198" s="128"/>
      <c r="D198" s="128"/>
      <c r="F198" s="266"/>
      <c r="G198" s="266"/>
      <c r="H198" s="266"/>
      <c r="I198" s="266"/>
      <c r="J198" s="266"/>
      <c r="K198" s="266"/>
      <c r="L198" s="266"/>
      <c r="M198" s="266"/>
    </row>
    <row r="199" spans="1:13" ht="15">
      <c r="A199" s="128" t="s">
        <v>155</v>
      </c>
      <c r="B199" s="128"/>
      <c r="C199" s="128"/>
      <c r="D199" s="128"/>
      <c r="F199" s="266"/>
      <c r="G199" s="266"/>
      <c r="H199" s="266"/>
      <c r="I199" s="266"/>
      <c r="J199" s="266"/>
      <c r="K199" s="266"/>
      <c r="L199" s="266"/>
      <c r="M199" s="266"/>
    </row>
    <row r="200" spans="1:13" ht="15.75">
      <c r="A200" s="129" t="s">
        <v>156</v>
      </c>
      <c r="B200" s="128"/>
      <c r="C200" s="128"/>
      <c r="D200" s="128"/>
      <c r="F200" s="266"/>
      <c r="G200" s="266"/>
      <c r="H200" s="266"/>
      <c r="I200" s="266"/>
      <c r="J200" s="266"/>
      <c r="K200" s="266"/>
      <c r="L200" s="266"/>
      <c r="M200" s="266"/>
    </row>
    <row r="201" spans="1:13">
      <c r="F201" s="266"/>
      <c r="G201" s="266"/>
      <c r="H201" s="266"/>
      <c r="I201" s="266"/>
      <c r="J201" s="266"/>
      <c r="K201" s="266"/>
      <c r="L201" s="266"/>
      <c r="M201" s="266"/>
    </row>
    <row r="202" spans="1:13">
      <c r="F202" s="266"/>
      <c r="G202" s="266"/>
      <c r="H202" s="266"/>
      <c r="I202" s="266"/>
      <c r="J202" s="266"/>
      <c r="K202" s="266"/>
      <c r="L202" s="266"/>
      <c r="M202" s="266"/>
    </row>
    <row r="203" spans="1:13">
      <c r="F203" s="266"/>
      <c r="G203" s="266"/>
      <c r="H203" s="266"/>
      <c r="I203" s="266"/>
      <c r="J203" s="266"/>
      <c r="K203" s="266"/>
      <c r="L203" s="266"/>
      <c r="M203" s="266"/>
    </row>
    <row r="204" spans="1:13">
      <c r="F204" s="266"/>
      <c r="G204" s="266"/>
      <c r="H204" s="266"/>
      <c r="I204" s="266"/>
      <c r="J204" s="266"/>
      <c r="K204" s="266"/>
      <c r="L204" s="266"/>
      <c r="M204" s="266"/>
    </row>
    <row r="205" spans="1:13">
      <c r="F205" s="266"/>
      <c r="G205" s="266"/>
      <c r="H205" s="266"/>
      <c r="I205" s="266"/>
      <c r="J205" s="266"/>
      <c r="K205" s="266"/>
      <c r="L205" s="266"/>
      <c r="M205" s="266"/>
    </row>
    <row r="206" spans="1:13">
      <c r="E206" s="51" t="s">
        <v>3</v>
      </c>
      <c r="F206" s="266"/>
      <c r="G206" s="266"/>
      <c r="H206" s="266"/>
      <c r="I206" s="266"/>
      <c r="J206" s="266"/>
    </row>
  </sheetData>
  <sheetProtection sheet="1" objects="1" scenarios="1" formatCells="0" selectLockedCells="1"/>
  <phoneticPr fontId="3"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dimension ref="A1:R258"/>
  <sheetViews>
    <sheetView workbookViewId="0">
      <selection activeCell="F2" sqref="F2"/>
    </sheetView>
  </sheetViews>
  <sheetFormatPr defaultRowHeight="12.75"/>
  <cols>
    <col min="1" max="1" width="6" style="49" customWidth="1"/>
    <col min="2" max="2" width="46" style="82" customWidth="1"/>
    <col min="3" max="3" width="19.42578125" customWidth="1"/>
    <col min="5" max="5" width="11.140625" customWidth="1"/>
    <col min="6" max="6" width="25.28515625" customWidth="1"/>
    <col min="9" max="9" width="5.140625" customWidth="1"/>
    <col min="10" max="10" width="6.140625" customWidth="1"/>
    <col min="11" max="11" width="48.85546875" customWidth="1"/>
    <col min="12" max="12" width="12.85546875" customWidth="1"/>
  </cols>
  <sheetData>
    <row r="1" spans="1:13" ht="15.75">
      <c r="A1" s="292" t="s">
        <v>536</v>
      </c>
      <c r="B1"/>
      <c r="E1" s="266"/>
      <c r="F1" s="266"/>
      <c r="G1" s="266"/>
      <c r="H1" s="266"/>
      <c r="I1" s="266"/>
      <c r="J1" s="266"/>
      <c r="K1" s="266"/>
    </row>
    <row r="2" spans="1:13">
      <c r="E2" s="266"/>
      <c r="F2" s="266"/>
      <c r="G2" s="266"/>
      <c r="H2" s="266"/>
      <c r="I2" s="266"/>
      <c r="J2" s="266"/>
      <c r="K2" s="266"/>
    </row>
    <row r="3" spans="1:13">
      <c r="A3" s="59" t="s">
        <v>530</v>
      </c>
      <c r="B3"/>
      <c r="E3" s="266"/>
      <c r="F3" s="266"/>
      <c r="G3" s="266"/>
      <c r="H3" s="266"/>
      <c r="I3" s="266"/>
      <c r="J3" s="266"/>
      <c r="K3" s="266"/>
    </row>
    <row r="4" spans="1:13">
      <c r="A4" s="59" t="s">
        <v>165</v>
      </c>
      <c r="B4"/>
      <c r="E4" s="266"/>
      <c r="F4" s="266"/>
      <c r="G4" s="266"/>
      <c r="H4" s="266"/>
      <c r="I4" s="266"/>
      <c r="J4" s="266"/>
      <c r="K4" s="266"/>
    </row>
    <row r="5" spans="1:13">
      <c r="A5" s="41"/>
      <c r="B5"/>
      <c r="E5" s="266"/>
      <c r="F5" s="266"/>
      <c r="G5" s="266"/>
      <c r="H5" s="266"/>
      <c r="I5" s="266"/>
      <c r="J5" s="266"/>
      <c r="K5" s="266"/>
    </row>
    <row r="6" spans="1:13">
      <c r="A6" s="59" t="s">
        <v>534</v>
      </c>
      <c r="E6" s="266"/>
      <c r="F6" s="266"/>
      <c r="G6" s="266"/>
      <c r="H6" s="266"/>
      <c r="I6" s="266"/>
      <c r="J6" s="266"/>
      <c r="K6" s="266"/>
      <c r="L6" s="266"/>
      <c r="M6" s="266"/>
    </row>
    <row r="7" spans="1:13">
      <c r="A7" s="59" t="s">
        <v>535</v>
      </c>
      <c r="E7" s="266"/>
      <c r="F7" s="266"/>
      <c r="G7" s="266"/>
      <c r="H7" s="266"/>
      <c r="I7" s="266"/>
      <c r="J7" s="266"/>
      <c r="K7" s="266"/>
      <c r="L7" s="266"/>
      <c r="M7" s="266"/>
    </row>
    <row r="8" spans="1:13">
      <c r="A8" s="69"/>
      <c r="B8"/>
      <c r="E8" s="266"/>
      <c r="F8" s="266"/>
      <c r="G8" s="266"/>
      <c r="H8" s="266"/>
      <c r="I8" s="266"/>
      <c r="J8" s="266"/>
      <c r="K8" s="266"/>
      <c r="L8" s="266"/>
      <c r="M8" s="266"/>
    </row>
    <row r="9" spans="1:13">
      <c r="A9" s="59" t="s">
        <v>531</v>
      </c>
      <c r="B9"/>
      <c r="E9" s="266"/>
      <c r="F9" s="266"/>
      <c r="G9" s="266"/>
      <c r="H9" s="266"/>
      <c r="I9" s="266"/>
      <c r="J9" s="266"/>
      <c r="K9" s="266"/>
      <c r="L9" s="266"/>
      <c r="M9" s="266"/>
    </row>
    <row r="10" spans="1:13">
      <c r="A10" s="59" t="s">
        <v>166</v>
      </c>
      <c r="B10"/>
      <c r="E10" s="266"/>
      <c r="F10" s="266"/>
      <c r="G10" s="266"/>
      <c r="H10" s="266"/>
      <c r="I10" s="266"/>
      <c r="J10" s="266"/>
      <c r="K10" s="266"/>
      <c r="L10" s="266"/>
      <c r="M10" s="266"/>
    </row>
    <row r="11" spans="1:13">
      <c r="A11" s="59"/>
      <c r="E11" s="266"/>
      <c r="F11" s="266"/>
      <c r="G11" s="266"/>
      <c r="H11" s="266"/>
      <c r="I11" s="266"/>
      <c r="J11" s="266"/>
      <c r="K11" s="266"/>
      <c r="L11" s="266"/>
      <c r="M11" s="266"/>
    </row>
    <row r="12" spans="1:13">
      <c r="A12" s="59" t="s">
        <v>532</v>
      </c>
      <c r="E12" s="266"/>
      <c r="F12" s="266"/>
      <c r="G12" s="266"/>
      <c r="H12" s="266"/>
      <c r="I12" s="266"/>
      <c r="J12" s="266"/>
      <c r="K12" s="266"/>
      <c r="L12" s="266"/>
      <c r="M12" s="266"/>
    </row>
    <row r="13" spans="1:13">
      <c r="A13" s="59" t="s">
        <v>533</v>
      </c>
      <c r="E13" s="266"/>
      <c r="F13" s="266"/>
      <c r="G13" s="266"/>
      <c r="H13" s="266"/>
      <c r="I13" s="266"/>
      <c r="J13" s="266"/>
      <c r="K13" s="266"/>
      <c r="L13" s="266"/>
      <c r="M13" s="266"/>
    </row>
    <row r="14" spans="1:13">
      <c r="A14" s="149"/>
      <c r="B14" s="75"/>
      <c r="C14" s="76"/>
      <c r="D14" s="294"/>
      <c r="E14" s="295"/>
      <c r="F14" s="295"/>
      <c r="G14" s="295"/>
      <c r="H14" s="295"/>
      <c r="I14" s="295"/>
      <c r="J14" s="266"/>
      <c r="K14" s="266"/>
      <c r="L14" s="266"/>
      <c r="M14" s="266"/>
    </row>
    <row r="15" spans="1:13" ht="15.75">
      <c r="A15" s="149"/>
      <c r="B15" s="29" t="s">
        <v>434</v>
      </c>
      <c r="C15" s="52"/>
      <c r="E15" s="353"/>
      <c r="F15" s="266"/>
      <c r="G15" s="266"/>
      <c r="H15" s="266"/>
      <c r="I15" s="266"/>
      <c r="J15" s="266"/>
      <c r="K15" s="266"/>
    </row>
    <row r="16" spans="1:13">
      <c r="A16" s="296"/>
      <c r="B16" s="46" t="s">
        <v>273</v>
      </c>
      <c r="C16" s="52"/>
      <c r="E16" s="266"/>
      <c r="F16" s="266"/>
      <c r="G16" s="266"/>
      <c r="H16" s="266"/>
      <c r="I16" s="266"/>
      <c r="J16" s="266"/>
      <c r="K16" s="266"/>
    </row>
    <row r="17" spans="1:11">
      <c r="A17" s="297"/>
      <c r="B17" s="54" t="s">
        <v>54</v>
      </c>
      <c r="C17" s="52"/>
      <c r="E17" s="266"/>
      <c r="F17" s="266"/>
      <c r="G17" s="266"/>
      <c r="H17" s="266"/>
      <c r="I17" s="266"/>
      <c r="J17" s="266"/>
      <c r="K17" s="266"/>
    </row>
    <row r="18" spans="1:11">
      <c r="A18" s="297"/>
      <c r="B18" s="49"/>
      <c r="C18" s="52"/>
      <c r="E18" s="266"/>
      <c r="F18" s="266"/>
      <c r="G18" s="266"/>
      <c r="H18" s="266"/>
      <c r="I18" s="266"/>
      <c r="J18" s="266"/>
      <c r="K18" s="266"/>
    </row>
    <row r="19" spans="1:11">
      <c r="A19" s="297"/>
      <c r="B19" s="49"/>
      <c r="C19" s="52"/>
      <c r="E19" s="266"/>
      <c r="F19" s="266"/>
      <c r="G19" s="266"/>
      <c r="H19" s="266"/>
      <c r="I19" s="266"/>
      <c r="J19" s="266"/>
      <c r="K19" s="266"/>
    </row>
    <row r="20" spans="1:11">
      <c r="A20" s="297"/>
      <c r="B20" s="49"/>
      <c r="C20" s="52"/>
      <c r="E20" s="266"/>
      <c r="F20" s="266"/>
      <c r="G20" s="266"/>
      <c r="H20" s="266"/>
      <c r="I20" s="266"/>
      <c r="J20" s="266"/>
      <c r="K20" s="266"/>
    </row>
    <row r="21" spans="1:11">
      <c r="A21" s="297"/>
      <c r="B21" s="49"/>
      <c r="C21" s="52"/>
      <c r="E21" s="266"/>
      <c r="F21" s="266"/>
      <c r="G21" s="266"/>
      <c r="H21" s="266"/>
      <c r="I21" s="266"/>
      <c r="J21" s="266"/>
      <c r="K21" s="266"/>
    </row>
    <row r="22" spans="1:11">
      <c r="A22" s="297"/>
      <c r="B22" s="49"/>
      <c r="C22" s="52"/>
      <c r="E22" s="266"/>
      <c r="F22" s="266"/>
      <c r="G22" s="266"/>
      <c r="H22" s="266"/>
      <c r="I22" s="266"/>
      <c r="J22" s="266"/>
      <c r="K22" s="266"/>
    </row>
    <row r="23" spans="1:11">
      <c r="A23" s="297"/>
      <c r="B23" s="49"/>
      <c r="C23" s="52"/>
      <c r="E23" s="266"/>
      <c r="F23" s="266"/>
      <c r="G23" s="266"/>
      <c r="H23" s="266"/>
      <c r="I23" s="266"/>
      <c r="J23" s="266"/>
      <c r="K23" s="266"/>
    </row>
    <row r="24" spans="1:11">
      <c r="A24" s="297"/>
      <c r="B24" s="49"/>
      <c r="C24" s="52"/>
      <c r="E24" s="266"/>
      <c r="F24" s="266"/>
      <c r="G24" s="266"/>
      <c r="H24" s="266"/>
      <c r="I24" s="266"/>
      <c r="J24" s="266"/>
      <c r="K24" s="266"/>
    </row>
    <row r="25" spans="1:11">
      <c r="A25" s="297"/>
      <c r="B25" s="49"/>
      <c r="C25" s="52"/>
      <c r="E25" s="266"/>
      <c r="F25" s="266"/>
      <c r="G25" s="266"/>
      <c r="H25" s="266"/>
      <c r="I25" s="266"/>
      <c r="J25" s="266"/>
      <c r="K25" s="266"/>
    </row>
    <row r="26" spans="1:11">
      <c r="A26" s="297"/>
      <c r="B26" s="49"/>
      <c r="C26" s="52"/>
      <c r="E26" s="266"/>
      <c r="F26" s="266"/>
      <c r="G26" s="266"/>
      <c r="H26" s="266"/>
      <c r="I26" s="266"/>
      <c r="J26" s="266"/>
      <c r="K26" s="266"/>
    </row>
    <row r="27" spans="1:11">
      <c r="A27" s="297"/>
      <c r="B27" s="49"/>
      <c r="C27" s="52"/>
      <c r="E27" s="266"/>
      <c r="F27" s="266"/>
      <c r="G27" s="266"/>
      <c r="H27" s="266"/>
      <c r="I27" s="266"/>
      <c r="J27" s="266"/>
      <c r="K27" s="266"/>
    </row>
    <row r="28" spans="1:11">
      <c r="A28" s="297"/>
      <c r="B28" s="49"/>
      <c r="C28" s="52"/>
      <c r="E28" s="266"/>
      <c r="F28" s="266"/>
      <c r="G28" s="266"/>
      <c r="H28" s="266"/>
      <c r="I28" s="266"/>
      <c r="J28" s="266"/>
      <c r="K28" s="266"/>
    </row>
    <row r="29" spans="1:11">
      <c r="A29" s="297"/>
      <c r="B29" s="49"/>
      <c r="C29" s="52"/>
      <c r="E29" s="266"/>
      <c r="F29" s="266"/>
      <c r="G29" s="266"/>
      <c r="H29" s="266"/>
      <c r="I29" s="266"/>
      <c r="J29" s="266"/>
      <c r="K29" s="266"/>
    </row>
    <row r="30" spans="1:11">
      <c r="A30" s="297"/>
      <c r="B30" s="49"/>
      <c r="C30" s="52"/>
      <c r="E30" s="266"/>
      <c r="F30" s="266"/>
      <c r="G30" s="266"/>
      <c r="H30" s="266"/>
      <c r="I30" s="266"/>
      <c r="J30" s="266"/>
      <c r="K30" s="266"/>
    </row>
    <row r="31" spans="1:11">
      <c r="A31" s="297"/>
      <c r="B31" s="49"/>
      <c r="C31" s="58"/>
      <c r="E31" s="266"/>
      <c r="F31" s="266"/>
      <c r="G31" s="266"/>
      <c r="H31" s="266"/>
      <c r="I31" s="266"/>
      <c r="J31" s="266"/>
      <c r="K31" s="266"/>
    </row>
    <row r="32" spans="1:11">
      <c r="A32" s="297"/>
      <c r="B32" s="49"/>
      <c r="C32" s="58"/>
      <c r="E32" s="266"/>
      <c r="F32" s="266"/>
      <c r="G32" s="266"/>
      <c r="H32" s="266"/>
      <c r="I32" s="266"/>
      <c r="J32" s="266"/>
      <c r="K32" s="266"/>
    </row>
    <row r="33" spans="1:11">
      <c r="A33" s="297"/>
      <c r="B33" s="49"/>
      <c r="C33" s="58"/>
      <c r="E33" s="266"/>
      <c r="F33" s="266"/>
      <c r="G33" s="266"/>
      <c r="H33" s="266"/>
      <c r="I33" s="266"/>
      <c r="J33" s="266"/>
      <c r="K33" s="266"/>
    </row>
    <row r="34" spans="1:11">
      <c r="A34" s="297"/>
      <c r="B34" s="49"/>
      <c r="C34" s="58"/>
      <c r="E34" s="266"/>
      <c r="F34" s="266"/>
      <c r="G34" s="266"/>
      <c r="H34" s="266"/>
      <c r="I34" s="266"/>
      <c r="J34" s="266"/>
      <c r="K34" s="266"/>
    </row>
    <row r="35" spans="1:11">
      <c r="A35" s="297"/>
      <c r="B35" s="49"/>
      <c r="C35" s="58"/>
      <c r="E35" s="266"/>
      <c r="F35" s="266"/>
      <c r="G35" s="266"/>
      <c r="H35" s="266"/>
      <c r="I35" s="266"/>
      <c r="J35" s="266"/>
      <c r="K35" s="266"/>
    </row>
    <row r="36" spans="1:11">
      <c r="A36" s="297"/>
      <c r="B36" s="49"/>
      <c r="C36" s="58"/>
      <c r="E36" s="266"/>
      <c r="F36" s="266"/>
      <c r="G36" s="266"/>
      <c r="H36" s="266"/>
      <c r="I36" s="266"/>
      <c r="J36" s="266"/>
      <c r="K36" s="266"/>
    </row>
    <row r="37" spans="1:11">
      <c r="A37" s="149"/>
      <c r="B37" s="49"/>
      <c r="C37" s="58"/>
      <c r="E37" s="266"/>
      <c r="F37" s="266"/>
      <c r="G37" s="266"/>
      <c r="H37" s="266"/>
      <c r="I37" s="266"/>
      <c r="J37" s="266"/>
      <c r="K37" s="266"/>
    </row>
    <row r="38" spans="1:11" ht="13.5" thickBot="1">
      <c r="A38" s="297"/>
      <c r="B38" s="46" t="s">
        <v>712</v>
      </c>
      <c r="C38" s="305" t="s">
        <v>121</v>
      </c>
      <c r="E38" s="266"/>
      <c r="F38" s="266"/>
      <c r="G38" s="266"/>
      <c r="H38" s="266"/>
      <c r="I38" s="266"/>
      <c r="J38" s="266"/>
      <c r="K38" s="266"/>
    </row>
    <row r="39" spans="1:11">
      <c r="A39" s="298"/>
      <c r="B39" s="49" t="s">
        <v>436</v>
      </c>
      <c r="C39" s="306">
        <v>30</v>
      </c>
      <c r="D39" t="s">
        <v>441</v>
      </c>
      <c r="E39" s="266"/>
      <c r="F39" s="266"/>
      <c r="G39" s="266"/>
      <c r="H39" s="266"/>
      <c r="I39" s="266"/>
      <c r="J39" s="266"/>
      <c r="K39" s="266"/>
    </row>
    <row r="40" spans="1:11">
      <c r="A40" s="297"/>
      <c r="B40" s="69" t="s">
        <v>437</v>
      </c>
      <c r="C40" s="307">
        <v>1750</v>
      </c>
      <c r="D40" t="s">
        <v>438</v>
      </c>
      <c r="E40" s="266"/>
      <c r="F40" s="266"/>
      <c r="G40" s="266"/>
      <c r="H40" s="266"/>
      <c r="I40" s="266"/>
      <c r="J40" s="266"/>
      <c r="K40" s="266"/>
    </row>
    <row r="41" spans="1:11">
      <c r="A41" s="297"/>
      <c r="B41" s="49" t="s">
        <v>688</v>
      </c>
      <c r="C41" s="263">
        <v>10</v>
      </c>
      <c r="D41" t="s">
        <v>30</v>
      </c>
      <c r="E41" s="266"/>
      <c r="F41" s="266"/>
      <c r="G41" s="266"/>
      <c r="H41" s="266"/>
      <c r="I41" s="266"/>
      <c r="J41" s="266"/>
      <c r="K41" s="266"/>
    </row>
    <row r="42" spans="1:11" ht="13.5" thickBot="1">
      <c r="A42" s="297"/>
      <c r="B42" s="49" t="s">
        <v>686</v>
      </c>
      <c r="C42" s="308">
        <v>20</v>
      </c>
      <c r="D42" t="s">
        <v>687</v>
      </c>
      <c r="E42" s="266"/>
      <c r="F42" s="266"/>
      <c r="G42" s="266"/>
      <c r="H42" s="266"/>
      <c r="I42" s="266"/>
      <c r="J42" s="266"/>
      <c r="K42" s="266"/>
    </row>
    <row r="43" spans="1:11">
      <c r="A43" s="296"/>
      <c r="B43" s="49"/>
      <c r="C43" s="309" t="s">
        <v>447</v>
      </c>
      <c r="E43" s="266"/>
      <c r="F43" s="266"/>
      <c r="G43" s="266"/>
      <c r="H43" s="266"/>
      <c r="I43" s="266"/>
      <c r="J43" s="266"/>
      <c r="K43" s="266"/>
    </row>
    <row r="44" spans="1:11">
      <c r="A44" s="296"/>
      <c r="B44" s="54" t="s">
        <v>439</v>
      </c>
      <c r="C44" s="64" t="s">
        <v>440</v>
      </c>
      <c r="D44" s="25"/>
      <c r="E44" s="266"/>
      <c r="F44" s="266"/>
      <c r="G44" s="266"/>
      <c r="H44" s="266"/>
      <c r="I44" s="266"/>
      <c r="J44" s="266"/>
      <c r="K44" s="266"/>
    </row>
    <row r="45" spans="1:11">
      <c r="A45" s="296"/>
      <c r="B45" s="54" t="s">
        <v>690</v>
      </c>
      <c r="C45" s="63">
        <f>33000*C39 / (2*3.14159*C40)</f>
        <v>90.036300999539364</v>
      </c>
      <c r="D45" s="25" t="s">
        <v>442</v>
      </c>
      <c r="E45" s="266"/>
      <c r="F45" s="266"/>
      <c r="G45" s="266"/>
      <c r="H45" s="266"/>
      <c r="I45" s="266"/>
      <c r="J45" s="266"/>
      <c r="K45" s="266"/>
    </row>
    <row r="46" spans="1:11">
      <c r="A46" s="296"/>
      <c r="B46" s="54" t="s">
        <v>716</v>
      </c>
      <c r="C46" s="63">
        <f>C45*12</f>
        <v>1080.4356119944723</v>
      </c>
      <c r="D46" s="25" t="s">
        <v>446</v>
      </c>
      <c r="E46" s="266"/>
      <c r="F46" s="266" t="s">
        <v>54</v>
      </c>
      <c r="G46" s="266"/>
      <c r="H46" s="266"/>
      <c r="I46" s="266"/>
      <c r="J46" s="266"/>
      <c r="K46" s="266"/>
    </row>
    <row r="47" spans="1:11">
      <c r="A47" s="296"/>
      <c r="B47" s="54" t="s">
        <v>443</v>
      </c>
      <c r="C47" s="46" t="s">
        <v>444</v>
      </c>
      <c r="D47" s="25"/>
      <c r="E47" s="266"/>
      <c r="F47" s="266"/>
      <c r="G47" s="266"/>
      <c r="H47" s="266"/>
      <c r="I47" s="266"/>
      <c r="J47" s="266"/>
      <c r="K47" s="266"/>
    </row>
    <row r="48" spans="1:11">
      <c r="A48" s="296"/>
      <c r="B48" s="54" t="s">
        <v>443</v>
      </c>
      <c r="C48" s="71">
        <f>C41 / 2</f>
        <v>5</v>
      </c>
      <c r="D48" s="25" t="s">
        <v>30</v>
      </c>
      <c r="E48" s="266"/>
      <c r="F48" s="266"/>
      <c r="G48" s="266"/>
      <c r="H48" s="266"/>
      <c r="I48" s="266"/>
      <c r="J48" s="266"/>
      <c r="K48" s="266"/>
    </row>
    <row r="49" spans="1:15">
      <c r="A49" s="296"/>
      <c r="B49" s="54" t="s">
        <v>713</v>
      </c>
      <c r="C49" s="46" t="s">
        <v>689</v>
      </c>
      <c r="D49" s="25" t="s">
        <v>446</v>
      </c>
      <c r="E49" s="266"/>
      <c r="F49" s="266"/>
      <c r="G49" s="266"/>
      <c r="H49" s="266"/>
      <c r="I49" s="266"/>
      <c r="J49" s="266"/>
      <c r="K49" s="266"/>
    </row>
    <row r="50" spans="1:15">
      <c r="A50" s="296"/>
      <c r="B50" s="54" t="s">
        <v>435</v>
      </c>
      <c r="C50" s="63">
        <f>C46 / C48</f>
        <v>216.08712239889445</v>
      </c>
      <c r="D50" s="25" t="s">
        <v>445</v>
      </c>
      <c r="E50" s="266"/>
      <c r="F50" s="266"/>
      <c r="G50" s="266"/>
      <c r="H50" s="266"/>
      <c r="I50" s="266"/>
      <c r="J50" s="266"/>
      <c r="K50" s="266"/>
    </row>
    <row r="51" spans="1:15">
      <c r="A51" s="296"/>
      <c r="B51" s="54" t="s">
        <v>448</v>
      </c>
      <c r="C51" s="46" t="s">
        <v>449</v>
      </c>
      <c r="D51" s="25" t="s">
        <v>446</v>
      </c>
      <c r="E51" s="266"/>
      <c r="F51" s="266"/>
      <c r="G51" s="266"/>
      <c r="H51" s="266"/>
      <c r="I51" s="266"/>
      <c r="J51" s="266"/>
      <c r="K51" s="266"/>
    </row>
    <row r="52" spans="1:15">
      <c r="A52" s="297"/>
      <c r="B52" s="54" t="s">
        <v>450</v>
      </c>
      <c r="C52" s="63">
        <f>C50 / TAN(C42/57.2958)</f>
        <v>593.69471998742927</v>
      </c>
      <c r="D52" s="25" t="s">
        <v>445</v>
      </c>
      <c r="E52" s="266"/>
      <c r="F52" s="285"/>
      <c r="G52" s="266"/>
      <c r="H52" s="266"/>
      <c r="I52" s="266"/>
      <c r="J52" s="266"/>
      <c r="K52" s="266"/>
    </row>
    <row r="53" spans="1:15">
      <c r="A53" s="297"/>
      <c r="B53" s="49"/>
      <c r="C53" s="58"/>
      <c r="E53" s="266"/>
      <c r="F53" s="266"/>
      <c r="G53" s="266"/>
      <c r="H53" s="266"/>
      <c r="I53" s="266"/>
      <c r="J53" s="266"/>
      <c r="K53" s="266"/>
    </row>
    <row r="54" spans="1:15">
      <c r="A54" s="297"/>
      <c r="B54" s="49"/>
      <c r="C54" s="58"/>
      <c r="G54" s="266"/>
    </row>
    <row r="55" spans="1:15">
      <c r="A55" s="149"/>
      <c r="B55" s="49"/>
      <c r="C55" s="52"/>
      <c r="G55" s="266"/>
      <c r="H55" s="266"/>
      <c r="I55" s="266"/>
      <c r="J55" s="266"/>
      <c r="K55" s="266"/>
      <c r="L55" s="266"/>
      <c r="M55" s="266"/>
      <c r="N55" s="266"/>
      <c r="O55" s="266"/>
    </row>
    <row r="56" spans="1:15">
      <c r="A56" s="297"/>
      <c r="B56" s="46" t="s">
        <v>451</v>
      </c>
      <c r="C56" s="52"/>
      <c r="G56" s="266"/>
      <c r="H56" s="266"/>
      <c r="I56" s="266"/>
      <c r="J56" s="266"/>
      <c r="K56" s="266"/>
      <c r="L56" s="266"/>
      <c r="M56" s="266"/>
      <c r="N56" s="266"/>
      <c r="O56" s="266"/>
    </row>
    <row r="57" spans="1:15">
      <c r="A57" s="299"/>
      <c r="B57" s="49"/>
      <c r="C57" s="52"/>
      <c r="G57" s="266"/>
      <c r="H57" s="266"/>
      <c r="I57" s="266"/>
      <c r="J57" s="266"/>
      <c r="K57" s="266"/>
      <c r="L57" s="266"/>
      <c r="M57" s="266"/>
      <c r="N57" s="266"/>
      <c r="O57" s="266"/>
    </row>
    <row r="58" spans="1:15">
      <c r="A58" s="299"/>
      <c r="B58" s="58" t="s">
        <v>453</v>
      </c>
      <c r="C58" s="52"/>
      <c r="G58" s="266"/>
      <c r="H58" s="266"/>
      <c r="I58" s="266"/>
      <c r="J58" s="266"/>
      <c r="K58" s="266"/>
      <c r="L58" s="266"/>
      <c r="M58" s="266"/>
      <c r="N58" s="266"/>
      <c r="O58" s="266"/>
    </row>
    <row r="59" spans="1:15">
      <c r="A59" s="300"/>
      <c r="B59" s="58" t="s">
        <v>452</v>
      </c>
      <c r="C59" s="52"/>
      <c r="G59" s="266"/>
      <c r="H59" s="266"/>
      <c r="I59" s="266"/>
      <c r="J59" s="266"/>
      <c r="K59" s="266"/>
      <c r="L59" s="266"/>
      <c r="M59" s="266"/>
      <c r="N59" s="266"/>
      <c r="O59" s="266"/>
    </row>
    <row r="60" spans="1:15">
      <c r="A60" s="297"/>
      <c r="B60" s="59" t="s">
        <v>454</v>
      </c>
      <c r="C60" s="52"/>
      <c r="G60" s="266"/>
      <c r="H60" s="266"/>
      <c r="I60" s="266"/>
      <c r="J60" s="266"/>
      <c r="K60" s="266"/>
      <c r="L60" s="266"/>
      <c r="M60" s="266"/>
      <c r="N60" s="266"/>
      <c r="O60" s="266"/>
    </row>
    <row r="61" spans="1:15">
      <c r="A61" s="297"/>
      <c r="B61" s="49"/>
      <c r="C61" s="52"/>
      <c r="G61" s="266"/>
      <c r="H61" s="266"/>
      <c r="I61" s="266"/>
      <c r="J61" s="266"/>
      <c r="K61" s="266"/>
      <c r="L61" s="266"/>
      <c r="M61" s="266"/>
      <c r="N61" s="266"/>
      <c r="O61" s="266"/>
    </row>
    <row r="62" spans="1:15">
      <c r="A62" s="297"/>
      <c r="B62" s="49"/>
      <c r="C62" s="52"/>
      <c r="G62" s="266"/>
      <c r="H62" s="266"/>
      <c r="I62" s="266"/>
      <c r="J62" s="266"/>
      <c r="K62" s="266"/>
      <c r="L62" s="266"/>
      <c r="M62" s="266"/>
      <c r="N62" s="266"/>
      <c r="O62" s="266"/>
    </row>
    <row r="63" spans="1:15">
      <c r="A63" s="297"/>
      <c r="B63" s="49"/>
      <c r="C63" s="66"/>
      <c r="G63" s="266"/>
      <c r="H63" s="266"/>
      <c r="I63" s="266"/>
      <c r="J63" s="266"/>
      <c r="K63" s="266"/>
      <c r="L63" s="266"/>
      <c r="M63" s="266"/>
      <c r="N63" s="266"/>
      <c r="O63" s="266"/>
    </row>
    <row r="64" spans="1:15">
      <c r="A64" s="296"/>
      <c r="B64" s="49"/>
      <c r="C64" s="66"/>
      <c r="G64" s="266"/>
      <c r="H64" s="266"/>
      <c r="I64" s="266"/>
      <c r="J64" s="266"/>
      <c r="K64" s="266"/>
      <c r="L64" s="266"/>
      <c r="M64" s="266"/>
      <c r="N64" s="266"/>
      <c r="O64" s="266"/>
    </row>
    <row r="65" spans="1:15">
      <c r="A65" s="297"/>
      <c r="B65" s="54"/>
      <c r="C65" s="52"/>
      <c r="G65" s="266"/>
      <c r="H65" s="266"/>
      <c r="I65" s="266"/>
      <c r="J65" s="266"/>
      <c r="K65" s="266"/>
      <c r="L65" s="266"/>
      <c r="M65" s="266"/>
      <c r="N65" s="266"/>
      <c r="O65" s="266"/>
    </row>
    <row r="66" spans="1:15">
      <c r="A66" s="297"/>
      <c r="B66" s="49"/>
      <c r="C66" s="52" t="s">
        <v>54</v>
      </c>
      <c r="G66" s="266"/>
      <c r="H66" s="266"/>
      <c r="I66" s="266"/>
      <c r="J66" s="266"/>
      <c r="K66" s="266"/>
      <c r="L66" s="266"/>
      <c r="M66" s="266"/>
      <c r="N66" s="266"/>
      <c r="O66" s="266"/>
    </row>
    <row r="67" spans="1:15">
      <c r="A67" s="297"/>
      <c r="B67" s="49"/>
      <c r="C67" s="52"/>
      <c r="G67" s="266"/>
      <c r="H67" s="266"/>
      <c r="I67" s="266"/>
      <c r="J67" s="266"/>
      <c r="K67" s="266"/>
      <c r="L67" s="266"/>
      <c r="M67" s="266"/>
      <c r="N67" s="266"/>
      <c r="O67" s="266"/>
    </row>
    <row r="68" spans="1:15">
      <c r="A68" s="297"/>
      <c r="B68" s="49"/>
      <c r="C68" s="52"/>
      <c r="G68" s="266"/>
      <c r="H68" s="266"/>
      <c r="I68" s="266"/>
      <c r="J68" s="266"/>
      <c r="K68" s="266"/>
      <c r="L68" s="266"/>
      <c r="M68" s="266"/>
      <c r="N68" s="266"/>
      <c r="O68" s="266"/>
    </row>
    <row r="69" spans="1:15">
      <c r="A69" s="297"/>
      <c r="B69" s="49"/>
      <c r="C69" s="66"/>
      <c r="G69" s="266"/>
      <c r="H69" s="266"/>
      <c r="I69" s="266"/>
      <c r="J69" s="266"/>
      <c r="K69" s="266"/>
      <c r="L69" s="266"/>
      <c r="M69" s="266"/>
      <c r="N69" s="266"/>
      <c r="O69" s="266"/>
    </row>
    <row r="70" spans="1:15">
      <c r="A70" s="297"/>
      <c r="B70" s="49"/>
      <c r="C70" s="52"/>
      <c r="G70" s="266"/>
      <c r="H70" s="266"/>
      <c r="I70" s="266"/>
      <c r="J70" s="266"/>
      <c r="K70" s="266"/>
      <c r="L70" s="266"/>
      <c r="M70" s="266"/>
      <c r="N70" s="266"/>
      <c r="O70" s="266"/>
    </row>
    <row r="71" spans="1:15">
      <c r="A71" s="299"/>
      <c r="B71" s="49"/>
      <c r="C71" s="52"/>
      <c r="G71" s="266"/>
      <c r="H71" s="266"/>
      <c r="I71" s="266"/>
      <c r="J71" s="266"/>
      <c r="K71" s="266"/>
      <c r="L71" s="266"/>
      <c r="M71" s="266"/>
      <c r="N71" s="266"/>
      <c r="O71" s="266"/>
    </row>
    <row r="72" spans="1:15">
      <c r="A72" s="299"/>
      <c r="B72" s="58" t="s">
        <v>455</v>
      </c>
      <c r="C72" s="67"/>
      <c r="G72" s="266"/>
      <c r="H72" s="266"/>
      <c r="I72" s="266"/>
      <c r="J72" s="266"/>
      <c r="K72" s="266"/>
      <c r="L72" s="266"/>
      <c r="M72" s="266"/>
      <c r="N72" s="266"/>
      <c r="O72" s="266"/>
    </row>
    <row r="73" spans="1:15">
      <c r="A73" s="299"/>
      <c r="B73" s="58" t="s">
        <v>456</v>
      </c>
      <c r="C73" s="52"/>
      <c r="G73" s="266"/>
      <c r="H73" s="266"/>
      <c r="I73" s="266"/>
      <c r="J73" s="266"/>
      <c r="K73" s="266"/>
      <c r="L73" s="266"/>
      <c r="M73" s="266"/>
      <c r="N73" s="266"/>
      <c r="O73" s="266"/>
    </row>
    <row r="74" spans="1:15">
      <c r="A74" s="299"/>
      <c r="B74" s="58" t="s">
        <v>457</v>
      </c>
      <c r="C74" s="52"/>
      <c r="G74" s="266"/>
      <c r="H74" s="266"/>
      <c r="I74" s="266"/>
      <c r="J74" s="266"/>
      <c r="K74" s="266"/>
      <c r="L74" s="266"/>
      <c r="M74" s="266"/>
      <c r="N74" s="266"/>
      <c r="O74" s="266"/>
    </row>
    <row r="75" spans="1:15">
      <c r="A75" s="299"/>
      <c r="B75" s="58" t="s">
        <v>462</v>
      </c>
      <c r="C75" s="52"/>
      <c r="G75" s="266"/>
      <c r="H75" s="266"/>
      <c r="I75" s="266"/>
      <c r="J75" s="266"/>
      <c r="K75" s="266"/>
      <c r="L75" s="266"/>
      <c r="M75" s="266"/>
      <c r="N75" s="266"/>
      <c r="O75" s="266"/>
    </row>
    <row r="76" spans="1:15">
      <c r="A76" s="299"/>
      <c r="B76" s="58"/>
      <c r="C76" s="52"/>
      <c r="G76" s="266"/>
      <c r="H76" s="266"/>
      <c r="I76" s="266"/>
      <c r="J76" s="266"/>
      <c r="K76" s="266"/>
      <c r="L76" s="266"/>
      <c r="M76" s="266"/>
      <c r="N76" s="266"/>
      <c r="O76" s="266"/>
    </row>
    <row r="77" spans="1:15">
      <c r="A77" s="299"/>
      <c r="B77" s="58"/>
      <c r="C77" s="66"/>
      <c r="G77" s="266"/>
      <c r="H77" s="266"/>
      <c r="I77" s="266"/>
      <c r="J77" s="266"/>
      <c r="K77" s="266"/>
      <c r="L77" s="266"/>
      <c r="M77" s="266"/>
      <c r="N77" s="266"/>
      <c r="O77" s="266"/>
    </row>
    <row r="78" spans="1:15">
      <c r="A78" s="297"/>
      <c r="B78" s="58"/>
      <c r="C78" s="52"/>
      <c r="G78" s="266"/>
      <c r="H78" s="266"/>
      <c r="I78" s="266"/>
      <c r="J78" s="266"/>
      <c r="K78" s="266"/>
      <c r="L78" s="266"/>
      <c r="M78" s="266"/>
      <c r="N78" s="266"/>
      <c r="O78" s="266"/>
    </row>
    <row r="79" spans="1:15">
      <c r="A79" s="297"/>
      <c r="B79" s="49"/>
      <c r="C79" s="52"/>
      <c r="G79" s="266"/>
      <c r="H79" s="266"/>
      <c r="I79" s="266"/>
      <c r="J79" s="266"/>
      <c r="K79" s="266"/>
      <c r="L79" s="266"/>
      <c r="M79" s="266"/>
      <c r="N79" s="266"/>
      <c r="O79" s="266"/>
    </row>
    <row r="80" spans="1:15">
      <c r="A80" s="297"/>
      <c r="B80" s="49"/>
      <c r="C80" s="52"/>
      <c r="G80" s="266"/>
      <c r="H80" s="266"/>
      <c r="I80" s="266"/>
      <c r="J80" s="266"/>
      <c r="K80" s="266"/>
      <c r="L80" s="266"/>
      <c r="M80" s="266"/>
      <c r="N80" s="266"/>
      <c r="O80" s="266"/>
    </row>
    <row r="81" spans="1:16">
      <c r="A81" s="297"/>
      <c r="B81" s="49"/>
      <c r="C81" s="52"/>
      <c r="G81" s="266"/>
      <c r="H81" s="266"/>
      <c r="I81" s="266"/>
      <c r="J81" s="266"/>
      <c r="K81" s="266"/>
      <c r="L81" s="266"/>
      <c r="M81" s="266"/>
      <c r="N81" s="266"/>
      <c r="O81" s="266"/>
    </row>
    <row r="82" spans="1:16">
      <c r="A82" s="297"/>
      <c r="B82" s="49"/>
      <c r="C82" s="67"/>
      <c r="G82" s="266"/>
      <c r="H82" s="266"/>
      <c r="I82" s="266"/>
      <c r="J82" s="266"/>
      <c r="K82" s="266"/>
      <c r="L82" s="266"/>
      <c r="M82" s="266"/>
      <c r="N82" s="266"/>
      <c r="O82" s="266"/>
    </row>
    <row r="83" spans="1:16">
      <c r="A83" s="297"/>
      <c r="B83" s="49"/>
      <c r="C83" s="310"/>
      <c r="G83" s="266"/>
      <c r="H83" s="266"/>
      <c r="I83" s="266"/>
      <c r="J83" s="266"/>
      <c r="K83" s="266"/>
      <c r="L83" s="266"/>
      <c r="M83" s="266"/>
      <c r="N83" s="266"/>
      <c r="O83" s="266"/>
    </row>
    <row r="84" spans="1:16">
      <c r="A84" s="297"/>
      <c r="B84" s="49"/>
      <c r="C84" s="58"/>
      <c r="G84" s="266"/>
      <c r="H84" s="266"/>
      <c r="I84" s="266"/>
      <c r="J84" s="266"/>
      <c r="K84" s="266"/>
      <c r="L84" s="266"/>
      <c r="M84" s="266"/>
      <c r="N84" s="266"/>
      <c r="O84" s="266"/>
    </row>
    <row r="85" spans="1:16">
      <c r="A85" s="297"/>
      <c r="B85" s="49"/>
      <c r="C85" s="58"/>
      <c r="G85" s="266"/>
      <c r="H85" s="266"/>
      <c r="I85" s="266"/>
      <c r="J85" s="266"/>
      <c r="K85" s="266"/>
      <c r="L85" s="266"/>
      <c r="M85" s="266"/>
      <c r="N85" s="266"/>
      <c r="O85" s="266"/>
    </row>
    <row r="86" spans="1:16">
      <c r="A86" s="297"/>
      <c r="B86" s="49"/>
      <c r="C86" s="58"/>
      <c r="G86" s="266"/>
      <c r="H86" s="266"/>
      <c r="I86" s="266"/>
      <c r="J86" s="266"/>
      <c r="K86" s="266"/>
      <c r="L86" s="266"/>
      <c r="M86" s="266"/>
      <c r="N86" s="266"/>
      <c r="O86" s="266"/>
    </row>
    <row r="87" spans="1:16">
      <c r="A87" s="297"/>
      <c r="B87" s="49"/>
      <c r="C87" s="58"/>
      <c r="G87" s="266"/>
      <c r="H87" s="266"/>
      <c r="I87" s="266"/>
      <c r="J87" s="266"/>
      <c r="K87" s="266"/>
      <c r="L87" s="266"/>
      <c r="M87" s="266"/>
      <c r="N87" s="266"/>
      <c r="O87" s="266"/>
    </row>
    <row r="88" spans="1:16">
      <c r="A88" s="297"/>
      <c r="B88" s="49"/>
      <c r="C88" s="58"/>
      <c r="G88" s="266"/>
      <c r="H88" s="266"/>
      <c r="I88" s="266"/>
      <c r="J88" s="266"/>
      <c r="K88" s="266"/>
      <c r="L88" s="266"/>
      <c r="M88" s="266"/>
      <c r="N88" s="266"/>
      <c r="O88" s="266"/>
    </row>
    <row r="89" spans="1:16">
      <c r="A89" s="297"/>
      <c r="B89" s="49"/>
      <c r="C89" s="58"/>
      <c r="G89" s="266"/>
      <c r="H89" s="266"/>
      <c r="I89" s="266"/>
      <c r="J89" s="266"/>
      <c r="K89" s="266"/>
      <c r="L89" s="266"/>
      <c r="M89" s="266"/>
      <c r="N89" s="266"/>
      <c r="O89" s="266"/>
    </row>
    <row r="90" spans="1:16">
      <c r="A90" s="297"/>
      <c r="B90" s="49"/>
      <c r="C90" s="58"/>
      <c r="G90" s="266"/>
      <c r="H90" s="266"/>
      <c r="I90" s="266"/>
      <c r="J90" s="266"/>
      <c r="K90" s="266"/>
      <c r="L90" s="266"/>
      <c r="M90" s="266"/>
      <c r="N90" s="266"/>
      <c r="O90" s="266"/>
    </row>
    <row r="91" spans="1:16">
      <c r="A91" s="297"/>
      <c r="B91" s="49"/>
      <c r="C91" s="58"/>
      <c r="G91" s="266"/>
      <c r="H91" s="266"/>
      <c r="I91" s="266"/>
      <c r="J91" s="266"/>
      <c r="K91" s="266"/>
      <c r="L91" s="266"/>
      <c r="M91" s="266"/>
      <c r="N91" s="266"/>
      <c r="O91" s="266"/>
    </row>
    <row r="92" spans="1:16">
      <c r="A92" s="297"/>
      <c r="B92" s="49"/>
      <c r="C92" s="58"/>
      <c r="G92" s="266"/>
      <c r="H92" s="266"/>
      <c r="I92" s="266"/>
      <c r="J92" s="266"/>
      <c r="K92" s="266"/>
      <c r="L92" s="266"/>
      <c r="M92" s="266"/>
      <c r="N92" s="266"/>
      <c r="O92" s="266"/>
    </row>
    <row r="93" spans="1:16">
      <c r="A93" s="297"/>
      <c r="B93" s="49"/>
      <c r="C93" s="58"/>
      <c r="G93" s="266"/>
      <c r="H93" s="266"/>
      <c r="I93" s="266"/>
      <c r="J93" s="266"/>
      <c r="K93" s="266"/>
      <c r="L93" s="266"/>
      <c r="M93" s="266"/>
      <c r="N93" s="266"/>
      <c r="O93" s="266"/>
    </row>
    <row r="94" spans="1:16">
      <c r="A94" s="297"/>
      <c r="B94" s="49"/>
      <c r="C94" s="58"/>
      <c r="G94" s="266"/>
      <c r="H94" s="266"/>
      <c r="I94" s="266"/>
      <c r="J94" s="266"/>
      <c r="K94" s="266"/>
      <c r="L94" s="266"/>
      <c r="M94" s="266"/>
      <c r="N94" s="266"/>
      <c r="O94" s="266"/>
    </row>
    <row r="95" spans="1:16">
      <c r="A95" s="297"/>
      <c r="B95" s="49"/>
      <c r="C95" s="58"/>
      <c r="G95" s="266"/>
      <c r="H95" s="266"/>
      <c r="I95" s="266"/>
      <c r="J95" s="266"/>
      <c r="K95" s="266"/>
      <c r="L95" s="266"/>
      <c r="M95" s="266"/>
      <c r="N95" s="266"/>
      <c r="O95" s="266"/>
    </row>
    <row r="96" spans="1:16" ht="15.75">
      <c r="A96" s="297"/>
      <c r="B96" s="311" t="s">
        <v>717</v>
      </c>
      <c r="C96" s="58"/>
      <c r="G96" s="266"/>
      <c r="K96" s="311" t="s">
        <v>717</v>
      </c>
      <c r="L96" s="58"/>
      <c r="P96" s="266"/>
    </row>
    <row r="97" spans="1:18" ht="16.5" thickBot="1">
      <c r="A97" s="297"/>
      <c r="B97" s="311" t="s">
        <v>718</v>
      </c>
      <c r="C97" s="312" t="s">
        <v>121</v>
      </c>
      <c r="F97" s="266"/>
      <c r="G97" s="266"/>
      <c r="H97" s="295"/>
      <c r="I97" s="295"/>
      <c r="J97" s="295"/>
      <c r="K97" s="311" t="s">
        <v>719</v>
      </c>
      <c r="L97" s="312" t="s">
        <v>121</v>
      </c>
      <c r="P97" s="266"/>
      <c r="Q97" s="76"/>
      <c r="R97" s="76"/>
    </row>
    <row r="98" spans="1:18">
      <c r="A98" s="297"/>
      <c r="B98" s="49" t="s">
        <v>472</v>
      </c>
      <c r="C98" s="267">
        <v>3</v>
      </c>
      <c r="D98" t="s">
        <v>30</v>
      </c>
      <c r="F98" s="266"/>
      <c r="G98" s="266"/>
      <c r="H98" s="295"/>
      <c r="I98" s="295"/>
      <c r="J98" s="295"/>
      <c r="K98" s="49" t="s">
        <v>472</v>
      </c>
      <c r="L98" s="356">
        <v>3</v>
      </c>
      <c r="M98" t="s">
        <v>30</v>
      </c>
      <c r="P98" s="266"/>
      <c r="Q98" s="76"/>
      <c r="R98" s="76"/>
    </row>
    <row r="99" spans="1:18" ht="13.5" thickBot="1">
      <c r="A99" s="297"/>
      <c r="B99" s="49" t="s">
        <v>473</v>
      </c>
      <c r="C99" s="265">
        <v>5</v>
      </c>
      <c r="D99" t="s">
        <v>30</v>
      </c>
      <c r="F99" s="266"/>
      <c r="G99" s="266"/>
      <c r="H99" s="295"/>
      <c r="I99" s="295"/>
      <c r="J99" s="295"/>
      <c r="K99" s="49" t="s">
        <v>473</v>
      </c>
      <c r="L99" s="357">
        <v>5</v>
      </c>
      <c r="M99" t="s">
        <v>30</v>
      </c>
      <c r="P99" s="266"/>
      <c r="Q99" s="76"/>
      <c r="R99" s="76"/>
    </row>
    <row r="100" spans="1:18">
      <c r="A100" s="149"/>
      <c r="B100" s="49"/>
      <c r="C100" s="309" t="s">
        <v>447</v>
      </c>
      <c r="F100" s="266"/>
      <c r="G100" s="266"/>
      <c r="H100" s="295"/>
      <c r="I100" s="295"/>
      <c r="J100" s="295"/>
      <c r="K100" s="49"/>
      <c r="L100" s="309" t="s">
        <v>447</v>
      </c>
      <c r="P100" s="266"/>
      <c r="Q100" s="76"/>
      <c r="R100" s="76"/>
    </row>
    <row r="101" spans="1:18">
      <c r="A101" s="301"/>
      <c r="B101" s="46" t="s">
        <v>463</v>
      </c>
      <c r="C101" s="58"/>
      <c r="F101" s="266"/>
      <c r="G101" s="266"/>
      <c r="H101" s="295"/>
      <c r="I101" s="295"/>
      <c r="J101" s="295"/>
      <c r="K101" s="46" t="s">
        <v>463</v>
      </c>
      <c r="L101" s="58"/>
      <c r="P101" s="266"/>
      <c r="Q101" s="76"/>
      <c r="R101" s="76"/>
    </row>
    <row r="102" spans="1:18">
      <c r="A102" s="296"/>
      <c r="B102" s="286" t="s">
        <v>460</v>
      </c>
      <c r="C102" s="63">
        <v>0</v>
      </c>
      <c r="D102" s="25"/>
      <c r="F102" s="266"/>
      <c r="G102" s="266"/>
      <c r="H102" s="295"/>
      <c r="I102" s="295"/>
      <c r="J102" s="295"/>
      <c r="K102" s="286" t="s">
        <v>460</v>
      </c>
      <c r="L102" s="63">
        <v>0</v>
      </c>
      <c r="M102" s="25"/>
      <c r="P102" s="266"/>
      <c r="Q102" s="76"/>
      <c r="R102" s="76"/>
    </row>
    <row r="103" spans="1:18">
      <c r="A103" s="296"/>
      <c r="B103" s="54" t="s">
        <v>459</v>
      </c>
      <c r="C103" s="64" t="s">
        <v>458</v>
      </c>
      <c r="D103" s="25"/>
      <c r="F103" s="266"/>
      <c r="G103" s="266"/>
      <c r="H103" s="295"/>
      <c r="I103" s="295"/>
      <c r="J103" s="295"/>
      <c r="K103" s="54" t="s">
        <v>459</v>
      </c>
      <c r="L103" s="64" t="s">
        <v>458</v>
      </c>
      <c r="M103" s="25"/>
      <c r="P103" s="266"/>
      <c r="Q103" s="76"/>
      <c r="R103" s="76"/>
    </row>
    <row r="104" spans="1:18">
      <c r="A104" s="296"/>
      <c r="B104" s="54" t="s">
        <v>470</v>
      </c>
      <c r="C104" s="64" t="s">
        <v>461</v>
      </c>
      <c r="D104" s="25"/>
      <c r="F104" s="285"/>
      <c r="G104" s="266"/>
      <c r="H104" s="295"/>
      <c r="I104" s="295"/>
      <c r="J104" s="295"/>
      <c r="K104" s="54" t="s">
        <v>470</v>
      </c>
      <c r="L104" s="64" t="s">
        <v>461</v>
      </c>
      <c r="M104" s="25"/>
      <c r="O104" s="51"/>
      <c r="P104" s="266"/>
      <c r="Q104" s="76"/>
      <c r="R104" s="76"/>
    </row>
    <row r="105" spans="1:18">
      <c r="A105" s="296"/>
      <c r="B105" s="54" t="s">
        <v>470</v>
      </c>
      <c r="C105" s="63">
        <f>C52*C99 / (C98+C99)</f>
        <v>371.05919999214331</v>
      </c>
      <c r="D105" s="25" t="s">
        <v>445</v>
      </c>
      <c r="F105" s="266"/>
      <c r="G105" s="266"/>
      <c r="H105" s="295"/>
      <c r="I105" s="295"/>
      <c r="J105" s="295"/>
      <c r="K105" s="54" t="s">
        <v>470</v>
      </c>
      <c r="L105" s="63">
        <f>L52*L99 / (L98+L99)</f>
        <v>0</v>
      </c>
      <c r="M105" s="25" t="s">
        <v>445</v>
      </c>
      <c r="P105" s="266"/>
      <c r="Q105" s="76"/>
      <c r="R105" s="76"/>
    </row>
    <row r="106" spans="1:18">
      <c r="A106" s="296"/>
      <c r="B106" s="54" t="s">
        <v>468</v>
      </c>
      <c r="C106" s="46" t="s">
        <v>466</v>
      </c>
      <c r="D106" s="25"/>
      <c r="E106" s="49"/>
      <c r="F106" s="354"/>
      <c r="G106" s="266"/>
      <c r="H106" s="295"/>
      <c r="I106" s="295"/>
      <c r="J106" s="295"/>
      <c r="K106" s="54" t="s">
        <v>468</v>
      </c>
      <c r="L106" s="46" t="s">
        <v>466</v>
      </c>
      <c r="M106" s="25"/>
      <c r="N106" s="49"/>
      <c r="O106" s="47"/>
      <c r="P106" s="266"/>
      <c r="Q106" s="76"/>
      <c r="R106" s="76"/>
    </row>
    <row r="107" spans="1:18">
      <c r="A107" s="149"/>
      <c r="B107" s="54" t="s">
        <v>468</v>
      </c>
      <c r="C107" s="63">
        <f>C105*C98</f>
        <v>1113.17759997643</v>
      </c>
      <c r="D107" s="25" t="s">
        <v>446</v>
      </c>
      <c r="F107" s="354"/>
      <c r="G107" s="266"/>
      <c r="H107" s="295"/>
      <c r="I107" s="295"/>
      <c r="J107" s="295"/>
      <c r="K107" s="54" t="s">
        <v>468</v>
      </c>
      <c r="L107" s="63">
        <f>L105*L98</f>
        <v>0</v>
      </c>
      <c r="M107" s="25" t="s">
        <v>446</v>
      </c>
      <c r="O107" s="47"/>
      <c r="P107" s="266"/>
      <c r="Q107" s="76"/>
      <c r="R107" s="76"/>
    </row>
    <row r="108" spans="1:18">
      <c r="A108" s="296"/>
      <c r="B108" s="46" t="s">
        <v>464</v>
      </c>
      <c r="C108" s="52"/>
      <c r="F108" s="266"/>
      <c r="G108" s="266"/>
      <c r="H108" s="295"/>
      <c r="I108" s="295"/>
      <c r="J108" s="295"/>
      <c r="K108" s="46" t="s">
        <v>464</v>
      </c>
      <c r="L108" s="52"/>
      <c r="P108" s="266"/>
      <c r="Q108" s="76"/>
      <c r="R108" s="76"/>
    </row>
    <row r="109" spans="1:18">
      <c r="A109" s="296"/>
      <c r="B109" s="54" t="s">
        <v>460</v>
      </c>
      <c r="C109" s="63">
        <v>0</v>
      </c>
      <c r="D109" s="25"/>
      <c r="F109" s="266"/>
      <c r="G109" s="266"/>
      <c r="H109" s="295"/>
      <c r="I109" s="295"/>
      <c r="J109" s="295"/>
      <c r="K109" s="54" t="s">
        <v>460</v>
      </c>
      <c r="L109" s="63">
        <v>0</v>
      </c>
      <c r="M109" s="25"/>
      <c r="P109" s="266"/>
      <c r="Q109" s="76"/>
      <c r="R109" s="76"/>
    </row>
    <row r="110" spans="1:18">
      <c r="A110" s="296"/>
      <c r="B110" s="54" t="s">
        <v>459</v>
      </c>
      <c r="C110" s="64" t="s">
        <v>458</v>
      </c>
      <c r="D110" s="25"/>
      <c r="F110" s="266"/>
      <c r="G110" s="266"/>
      <c r="H110" s="295"/>
      <c r="I110" s="295"/>
      <c r="J110" s="295"/>
      <c r="K110" s="54" t="s">
        <v>459</v>
      </c>
      <c r="L110" s="64" t="s">
        <v>458</v>
      </c>
      <c r="M110" s="25"/>
      <c r="P110" s="266"/>
      <c r="Q110" s="76"/>
      <c r="R110" s="76"/>
    </row>
    <row r="111" spans="1:18">
      <c r="A111" s="296"/>
      <c r="B111" s="54" t="s">
        <v>471</v>
      </c>
      <c r="C111" s="64" t="s">
        <v>467</v>
      </c>
      <c r="D111" s="25"/>
      <c r="F111" s="266"/>
      <c r="G111" s="266"/>
      <c r="H111" s="295"/>
      <c r="I111" s="295"/>
      <c r="J111" s="295"/>
      <c r="K111" s="54" t="s">
        <v>471</v>
      </c>
      <c r="L111" s="64" t="s">
        <v>467</v>
      </c>
      <c r="M111" s="25"/>
      <c r="P111" s="266"/>
      <c r="Q111" s="76"/>
      <c r="R111" s="76"/>
    </row>
    <row r="112" spans="1:18">
      <c r="A112" s="296"/>
      <c r="B112" s="54" t="s">
        <v>471</v>
      </c>
      <c r="C112" s="63">
        <f>C50*C99 / (C98+C99)</f>
        <v>135.05445149930904</v>
      </c>
      <c r="D112" s="25" t="s">
        <v>445</v>
      </c>
      <c r="F112" s="266"/>
      <c r="G112" s="266"/>
      <c r="H112" s="295"/>
      <c r="I112" s="295"/>
      <c r="J112" s="295"/>
      <c r="K112" s="54" t="s">
        <v>471</v>
      </c>
      <c r="L112" s="63">
        <f>L50*L99 / (L98+L99)</f>
        <v>0</v>
      </c>
      <c r="M112" s="25" t="s">
        <v>445</v>
      </c>
      <c r="P112" s="266"/>
      <c r="Q112" s="76"/>
      <c r="R112" s="76"/>
    </row>
    <row r="113" spans="1:18">
      <c r="A113" s="296"/>
      <c r="B113" s="54" t="s">
        <v>469</v>
      </c>
      <c r="C113" s="46" t="s">
        <v>466</v>
      </c>
      <c r="D113" s="25"/>
      <c r="F113" s="266"/>
      <c r="G113" s="266"/>
      <c r="H113" s="295"/>
      <c r="I113" s="295"/>
      <c r="J113" s="295"/>
      <c r="K113" s="54" t="s">
        <v>469</v>
      </c>
      <c r="L113" s="46" t="s">
        <v>466</v>
      </c>
      <c r="M113" s="25"/>
      <c r="P113" s="266"/>
      <c r="Q113" s="76"/>
      <c r="R113" s="76"/>
    </row>
    <row r="114" spans="1:18">
      <c r="A114" s="149"/>
      <c r="B114" s="54" t="s">
        <v>469</v>
      </c>
      <c r="C114" s="63">
        <f>C112*C98</f>
        <v>405.16335449792712</v>
      </c>
      <c r="D114" s="25" t="s">
        <v>446</v>
      </c>
      <c r="F114" s="266"/>
      <c r="G114" s="266"/>
      <c r="H114" s="295"/>
      <c r="I114" s="295"/>
      <c r="J114" s="295"/>
      <c r="K114" s="54" t="s">
        <v>469</v>
      </c>
      <c r="L114" s="63">
        <f>L112*L98</f>
        <v>0</v>
      </c>
      <c r="M114" s="25" t="s">
        <v>446</v>
      </c>
      <c r="P114" s="266"/>
      <c r="Q114" s="76"/>
      <c r="R114" s="76"/>
    </row>
    <row r="115" spans="1:18">
      <c r="A115" s="296"/>
      <c r="B115" s="46" t="s">
        <v>476</v>
      </c>
      <c r="C115" s="46"/>
      <c r="D115" s="25"/>
      <c r="F115" s="266"/>
      <c r="G115" s="266"/>
      <c r="H115" s="295"/>
      <c r="I115" s="295"/>
      <c r="J115" s="295"/>
      <c r="K115" s="46" t="s">
        <v>476</v>
      </c>
      <c r="L115" s="46"/>
      <c r="M115" s="25"/>
      <c r="P115" s="266"/>
      <c r="Q115" s="76"/>
      <c r="R115" s="76"/>
    </row>
    <row r="116" spans="1:18">
      <c r="A116" s="296"/>
      <c r="B116" s="54" t="s">
        <v>465</v>
      </c>
      <c r="C116" s="46" t="s">
        <v>474</v>
      </c>
      <c r="D116" s="25"/>
      <c r="F116" s="266"/>
      <c r="G116" s="266"/>
      <c r="H116" s="295"/>
      <c r="I116" s="295"/>
      <c r="J116" s="295"/>
      <c r="K116" s="54" t="s">
        <v>465</v>
      </c>
      <c r="L116" s="46" t="s">
        <v>474</v>
      </c>
      <c r="M116" s="25"/>
      <c r="P116" s="266"/>
      <c r="Q116" s="76"/>
      <c r="R116" s="76"/>
    </row>
    <row r="117" spans="1:18">
      <c r="A117" s="297"/>
      <c r="B117" s="54" t="s">
        <v>465</v>
      </c>
      <c r="C117" s="63">
        <f>(C107^2 + C114^2)^0.5</f>
        <v>1184.6188048977181</v>
      </c>
      <c r="D117" s="25" t="s">
        <v>446</v>
      </c>
      <c r="F117" s="266"/>
      <c r="G117" s="266"/>
      <c r="H117" s="295"/>
      <c r="I117" s="295"/>
      <c r="J117" s="295"/>
      <c r="K117" s="54" t="s">
        <v>465</v>
      </c>
      <c r="L117" s="63">
        <f>(L107^2 + L114^2)^0.5</f>
        <v>0</v>
      </c>
      <c r="M117" s="25" t="s">
        <v>446</v>
      </c>
      <c r="P117" s="266"/>
      <c r="Q117" s="76"/>
      <c r="R117" s="76"/>
    </row>
    <row r="118" spans="1:18">
      <c r="A118" s="149"/>
      <c r="B118" s="49"/>
      <c r="C118" s="58"/>
      <c r="F118" s="266"/>
      <c r="G118" s="266"/>
      <c r="H118" s="295"/>
      <c r="I118" s="295"/>
      <c r="J118" s="295"/>
      <c r="K118" s="49"/>
      <c r="L118" s="58"/>
      <c r="P118" s="266"/>
      <c r="Q118" s="76"/>
      <c r="R118" s="76"/>
    </row>
    <row r="119" spans="1:18" ht="15.75">
      <c r="A119" s="149"/>
      <c r="B119" s="29" t="s">
        <v>720</v>
      </c>
      <c r="C119" s="58"/>
      <c r="F119" s="266"/>
      <c r="G119" s="266"/>
      <c r="H119" s="295"/>
      <c r="I119" s="295"/>
      <c r="J119" s="295"/>
      <c r="K119" s="29" t="s">
        <v>720</v>
      </c>
      <c r="L119" s="58"/>
      <c r="P119" s="266"/>
      <c r="Q119" s="76"/>
      <c r="R119" s="76"/>
    </row>
    <row r="120" spans="1:18" ht="15">
      <c r="A120" s="296"/>
      <c r="B120" s="46" t="s">
        <v>721</v>
      </c>
      <c r="C120" s="313" t="s">
        <v>722</v>
      </c>
      <c r="D120" s="313" t="s">
        <v>723</v>
      </c>
      <c r="E120" s="313" t="s">
        <v>724</v>
      </c>
      <c r="F120" s="266"/>
      <c r="G120" s="266"/>
      <c r="H120" s="295"/>
      <c r="I120" s="295"/>
      <c r="J120" s="295"/>
      <c r="K120" s="46" t="s">
        <v>721</v>
      </c>
      <c r="L120" s="313" t="s">
        <v>722</v>
      </c>
      <c r="M120" s="313" t="s">
        <v>723</v>
      </c>
      <c r="N120" s="313" t="s">
        <v>724</v>
      </c>
      <c r="P120" s="266"/>
      <c r="Q120" s="76"/>
      <c r="R120" s="76"/>
    </row>
    <row r="121" spans="1:18" ht="15">
      <c r="A121" s="297"/>
      <c r="B121" s="54" t="s">
        <v>725</v>
      </c>
      <c r="C121" s="313" t="s">
        <v>21</v>
      </c>
      <c r="D121" s="95">
        <v>1</v>
      </c>
      <c r="E121" s="95">
        <v>1</v>
      </c>
      <c r="F121" s="266"/>
      <c r="G121" s="266"/>
      <c r="H121" s="295"/>
      <c r="I121" s="295"/>
      <c r="J121" s="295"/>
      <c r="K121" s="54" t="s">
        <v>725</v>
      </c>
      <c r="L121" s="313" t="s">
        <v>21</v>
      </c>
      <c r="M121" s="95">
        <v>1</v>
      </c>
      <c r="N121" s="95">
        <v>1</v>
      </c>
      <c r="P121" s="266"/>
      <c r="Q121" s="76"/>
      <c r="R121" s="76"/>
    </row>
    <row r="122" spans="1:18" ht="15">
      <c r="A122" s="149"/>
      <c r="B122" s="54" t="s">
        <v>726</v>
      </c>
      <c r="C122" s="313" t="s">
        <v>727</v>
      </c>
      <c r="D122" s="58" t="s">
        <v>728</v>
      </c>
      <c r="E122" s="314" t="s">
        <v>728</v>
      </c>
      <c r="F122" s="355"/>
      <c r="G122" s="266"/>
      <c r="H122" s="295"/>
      <c r="I122" s="295"/>
      <c r="J122" s="295"/>
      <c r="K122" s="54" t="s">
        <v>726</v>
      </c>
      <c r="L122" s="313" t="s">
        <v>727</v>
      </c>
      <c r="M122" s="58" t="s">
        <v>728</v>
      </c>
      <c r="N122" s="314" t="s">
        <v>728</v>
      </c>
      <c r="O122" s="64"/>
      <c r="P122" s="266"/>
      <c r="Q122" s="76"/>
      <c r="R122" s="76"/>
    </row>
    <row r="123" spans="1:18" ht="15">
      <c r="A123" s="149"/>
      <c r="B123" s="46" t="s">
        <v>729</v>
      </c>
      <c r="C123" s="313"/>
      <c r="D123" s="58"/>
      <c r="E123" s="314"/>
      <c r="F123" s="266"/>
      <c r="G123" s="266"/>
      <c r="H123" s="295"/>
      <c r="I123" s="295"/>
      <c r="J123" s="295"/>
      <c r="K123" s="46" t="s">
        <v>729</v>
      </c>
      <c r="L123" s="313"/>
      <c r="M123" s="58"/>
      <c r="N123" s="314"/>
      <c r="P123" s="266"/>
      <c r="Q123" s="76"/>
      <c r="R123" s="76"/>
    </row>
    <row r="124" spans="1:18" ht="15">
      <c r="A124" s="296"/>
      <c r="B124" s="54" t="s">
        <v>725</v>
      </c>
      <c r="C124" s="313"/>
      <c r="D124" s="58">
        <v>1.5</v>
      </c>
      <c r="E124" s="314">
        <v>1</v>
      </c>
      <c r="F124" s="266"/>
      <c r="G124" s="266"/>
      <c r="H124" s="295"/>
      <c r="I124" s="295"/>
      <c r="J124" s="295"/>
      <c r="K124" s="54" t="s">
        <v>725</v>
      </c>
      <c r="L124" s="313"/>
      <c r="M124" s="58">
        <v>1.5</v>
      </c>
      <c r="N124" s="314">
        <v>1</v>
      </c>
      <c r="Q124" s="76"/>
      <c r="R124" s="76"/>
    </row>
    <row r="125" spans="1:18" ht="15">
      <c r="A125" s="297"/>
      <c r="B125" s="54" t="s">
        <v>730</v>
      </c>
      <c r="C125" s="313" t="s">
        <v>731</v>
      </c>
      <c r="D125" s="58" t="s">
        <v>728</v>
      </c>
      <c r="E125" s="314" t="s">
        <v>728</v>
      </c>
      <c r="F125" s="266"/>
      <c r="G125" s="266"/>
      <c r="H125" s="295"/>
      <c r="I125" s="295"/>
      <c r="J125" s="295"/>
      <c r="K125" s="54" t="s">
        <v>730</v>
      </c>
      <c r="L125" s="313" t="s">
        <v>731</v>
      </c>
      <c r="M125" s="58" t="s">
        <v>728</v>
      </c>
      <c r="N125" s="314" t="s">
        <v>728</v>
      </c>
      <c r="P125" s="266"/>
      <c r="Q125" s="76"/>
      <c r="R125" s="76"/>
    </row>
    <row r="126" spans="1:18" ht="15">
      <c r="A126" s="149"/>
      <c r="B126" s="54" t="s">
        <v>732</v>
      </c>
      <c r="C126" s="313" t="s">
        <v>733</v>
      </c>
      <c r="D126" s="58" t="s">
        <v>734</v>
      </c>
      <c r="E126" s="314" t="s">
        <v>735</v>
      </c>
      <c r="F126" s="266"/>
      <c r="G126" s="266"/>
      <c r="H126" s="295"/>
      <c r="I126" s="295"/>
      <c r="J126" s="295"/>
      <c r="K126" s="54" t="s">
        <v>732</v>
      </c>
      <c r="L126" s="313" t="s">
        <v>733</v>
      </c>
      <c r="M126" s="58" t="s">
        <v>734</v>
      </c>
      <c r="N126" s="314" t="s">
        <v>735</v>
      </c>
      <c r="P126" s="266"/>
      <c r="Q126" s="76"/>
      <c r="R126" s="76"/>
    </row>
    <row r="127" spans="1:18">
      <c r="A127" s="149"/>
      <c r="B127" s="46"/>
      <c r="C127" s="58"/>
      <c r="D127" s="58"/>
      <c r="F127" s="266"/>
      <c r="G127" s="266"/>
      <c r="H127" s="295"/>
      <c r="I127" s="295"/>
      <c r="J127" s="295"/>
      <c r="K127" s="46"/>
      <c r="L127" s="58"/>
      <c r="M127" s="58"/>
      <c r="P127" s="266"/>
      <c r="Q127" s="76"/>
      <c r="R127" s="76"/>
    </row>
    <row r="128" spans="1:18">
      <c r="A128" s="296"/>
      <c r="B128" s="46" t="s">
        <v>736</v>
      </c>
      <c r="C128" s="315"/>
      <c r="D128" s="315"/>
      <c r="E128" s="316"/>
      <c r="F128" s="316"/>
      <c r="G128" s="266"/>
      <c r="H128" s="76"/>
      <c r="I128" s="76"/>
      <c r="J128" s="76"/>
      <c r="K128" s="46" t="s">
        <v>736</v>
      </c>
      <c r="L128" s="315"/>
      <c r="M128" s="315"/>
      <c r="N128" s="316"/>
      <c r="O128" s="316"/>
      <c r="P128" s="266"/>
      <c r="Q128" s="76"/>
      <c r="R128" s="76"/>
    </row>
    <row r="129" spans="1:18">
      <c r="A129" s="297"/>
      <c r="B129" s="54" t="s">
        <v>737</v>
      </c>
      <c r="C129" s="317">
        <v>8000</v>
      </c>
      <c r="D129" s="59" t="s">
        <v>42</v>
      </c>
      <c r="E129" s="318">
        <f>C129/145.04</f>
        <v>55.157198014340878</v>
      </c>
      <c r="F129" s="319" t="s">
        <v>738</v>
      </c>
      <c r="G129" s="266"/>
      <c r="H129" s="76"/>
      <c r="I129" s="76"/>
      <c r="J129" s="76"/>
      <c r="K129" s="54" t="s">
        <v>737</v>
      </c>
      <c r="L129" s="317">
        <v>8000</v>
      </c>
      <c r="M129" s="59" t="s">
        <v>42</v>
      </c>
      <c r="N129" s="318">
        <f>L129/145.04</f>
        <v>55.157198014340878</v>
      </c>
      <c r="O129" s="319" t="s">
        <v>738</v>
      </c>
      <c r="P129" s="266"/>
      <c r="Q129" s="76"/>
      <c r="R129" s="76"/>
    </row>
    <row r="130" spans="1:18">
      <c r="A130" s="149"/>
      <c r="B130" s="54" t="s">
        <v>739</v>
      </c>
      <c r="C130" s="317">
        <v>5800</v>
      </c>
      <c r="D130" s="317" t="s">
        <v>42</v>
      </c>
      <c r="E130" s="318">
        <f>C130/145.04</f>
        <v>39.988968560397133</v>
      </c>
      <c r="F130" s="319" t="s">
        <v>738</v>
      </c>
      <c r="G130" s="266"/>
      <c r="H130" s="76"/>
      <c r="I130" s="76"/>
      <c r="J130" s="76"/>
      <c r="K130" s="54" t="s">
        <v>739</v>
      </c>
      <c r="L130" s="317">
        <v>5800</v>
      </c>
      <c r="M130" s="317" t="s">
        <v>42</v>
      </c>
      <c r="N130" s="318">
        <f>L130/145.04</f>
        <v>39.988968560397133</v>
      </c>
      <c r="O130" s="319" t="s">
        <v>738</v>
      </c>
      <c r="P130" s="266"/>
      <c r="Q130" s="76"/>
      <c r="R130" s="76"/>
    </row>
    <row r="131" spans="1:18">
      <c r="A131" s="149"/>
      <c r="B131" s="46" t="s">
        <v>740</v>
      </c>
      <c r="C131" s="315"/>
      <c r="D131" s="25"/>
      <c r="E131" s="316"/>
      <c r="F131" s="316"/>
      <c r="G131" s="266"/>
      <c r="H131" s="76"/>
      <c r="I131" s="76"/>
      <c r="J131" s="76"/>
      <c r="K131" s="46" t="s">
        <v>740</v>
      </c>
      <c r="L131" s="315"/>
      <c r="M131" s="25"/>
      <c r="N131" s="316"/>
      <c r="O131" s="316"/>
      <c r="P131" s="266"/>
      <c r="Q131" s="76"/>
      <c r="R131" s="76"/>
    </row>
    <row r="132" spans="1:18">
      <c r="A132" s="296"/>
      <c r="B132" s="54" t="s">
        <v>741</v>
      </c>
      <c r="C132" s="317" t="s">
        <v>742</v>
      </c>
      <c r="D132" s="316"/>
      <c r="E132" s="316"/>
      <c r="F132" s="316"/>
      <c r="G132" s="266"/>
      <c r="H132" s="76"/>
      <c r="I132" s="76"/>
      <c r="J132" s="76"/>
      <c r="K132" s="54" t="s">
        <v>741</v>
      </c>
      <c r="L132" s="317" t="s">
        <v>742</v>
      </c>
      <c r="M132" s="316"/>
      <c r="N132" s="316"/>
      <c r="O132" s="316"/>
      <c r="P132" s="266"/>
      <c r="Q132" s="76"/>
      <c r="R132" s="76"/>
    </row>
    <row r="133" spans="1:18">
      <c r="A133" s="297"/>
      <c r="B133" s="54"/>
      <c r="C133" s="320" t="s">
        <v>743</v>
      </c>
      <c r="D133" s="316"/>
      <c r="E133" s="316"/>
      <c r="F133" s="316"/>
      <c r="G133" s="266"/>
      <c r="H133" s="76"/>
      <c r="I133" s="76"/>
      <c r="J133" s="76"/>
      <c r="K133" s="54"/>
      <c r="L133" s="320" t="s">
        <v>743</v>
      </c>
      <c r="M133" s="316"/>
      <c r="N133" s="316"/>
      <c r="O133" s="316"/>
      <c r="P133" s="266"/>
      <c r="Q133" s="76"/>
      <c r="R133" s="76"/>
    </row>
    <row r="134" spans="1:18">
      <c r="A134" s="149"/>
      <c r="B134" s="321"/>
      <c r="C134" s="322" t="s">
        <v>744</v>
      </c>
      <c r="D134" s="316"/>
      <c r="E134" s="316"/>
      <c r="F134" s="316"/>
      <c r="G134" s="266"/>
      <c r="H134" s="76"/>
      <c r="I134" s="76"/>
      <c r="J134" s="76"/>
      <c r="K134" s="321"/>
      <c r="L134" s="322" t="s">
        <v>744</v>
      </c>
      <c r="M134" s="316"/>
      <c r="N134" s="316"/>
      <c r="O134" s="316"/>
      <c r="P134" s="266"/>
      <c r="Q134" s="76"/>
      <c r="R134" s="76"/>
    </row>
    <row r="135" spans="1:18">
      <c r="A135" s="149"/>
      <c r="B135" s="316"/>
      <c r="C135" s="315"/>
      <c r="D135" s="316"/>
      <c r="E135" s="316"/>
      <c r="F135" s="316"/>
      <c r="G135" s="266"/>
      <c r="H135" s="76"/>
      <c r="I135" s="76"/>
      <c r="J135" s="76"/>
      <c r="K135" s="316"/>
      <c r="L135" s="315"/>
      <c r="M135" s="316"/>
      <c r="N135" s="316"/>
      <c r="O135" s="316"/>
      <c r="P135" s="266"/>
      <c r="Q135" s="76"/>
      <c r="R135" s="76"/>
    </row>
    <row r="136" spans="1:18" ht="13.5" thickBot="1">
      <c r="A136" s="296"/>
      <c r="B136" s="316"/>
      <c r="C136" s="84" t="s">
        <v>121</v>
      </c>
      <c r="D136" s="316"/>
      <c r="E136" s="316"/>
      <c r="F136" s="316"/>
      <c r="K136" s="316"/>
      <c r="L136" s="84" t="s">
        <v>121</v>
      </c>
      <c r="M136" s="316"/>
      <c r="N136" s="316"/>
      <c r="O136" s="316"/>
    </row>
    <row r="137" spans="1:18">
      <c r="A137" s="297"/>
      <c r="B137" s="323" t="s">
        <v>745</v>
      </c>
      <c r="C137" s="347">
        <v>36000</v>
      </c>
      <c r="D137" s="319" t="s">
        <v>42</v>
      </c>
      <c r="E137" s="318">
        <f>C137/145.04</f>
        <v>248.20739106453394</v>
      </c>
      <c r="F137" s="319" t="s">
        <v>738</v>
      </c>
      <c r="K137" s="323" t="s">
        <v>745</v>
      </c>
      <c r="L137" s="324">
        <v>36000</v>
      </c>
      <c r="M137" s="319" t="s">
        <v>42</v>
      </c>
      <c r="N137" s="318">
        <f>L137/145.04</f>
        <v>248.20739106453394</v>
      </c>
      <c r="O137" s="319" t="s">
        <v>738</v>
      </c>
    </row>
    <row r="138" spans="1:18" ht="13.5" thickBot="1">
      <c r="A138" s="296"/>
      <c r="B138" s="323" t="s">
        <v>746</v>
      </c>
      <c r="C138" s="348">
        <v>62000</v>
      </c>
      <c r="D138" s="319" t="s">
        <v>42</v>
      </c>
      <c r="E138" s="318">
        <f>C138/145.04</f>
        <v>427.46828461114177</v>
      </c>
      <c r="F138" s="319" t="s">
        <v>738</v>
      </c>
      <c r="K138" s="323" t="s">
        <v>746</v>
      </c>
      <c r="L138" s="325">
        <v>62000</v>
      </c>
      <c r="M138" s="319" t="s">
        <v>42</v>
      </c>
      <c r="N138" s="318">
        <f>L138/145.04</f>
        <v>427.46828461114177</v>
      </c>
      <c r="O138" s="319" t="s">
        <v>738</v>
      </c>
    </row>
    <row r="139" spans="1:18">
      <c r="A139" s="296"/>
      <c r="B139" s="323"/>
      <c r="C139" s="84" t="s">
        <v>447</v>
      </c>
      <c r="D139" s="319"/>
      <c r="E139" s="319"/>
      <c r="F139" s="319"/>
      <c r="K139" s="323"/>
      <c r="L139" s="84" t="s">
        <v>447</v>
      </c>
      <c r="M139" s="319"/>
      <c r="N139" s="319"/>
      <c r="O139" s="319"/>
    </row>
    <row r="140" spans="1:18">
      <c r="A140" s="296"/>
      <c r="B140" s="326" t="s">
        <v>747</v>
      </c>
      <c r="C140" s="317"/>
      <c r="D140" s="319"/>
      <c r="E140" s="319"/>
      <c r="F140" s="319"/>
      <c r="K140" s="326" t="s">
        <v>747</v>
      </c>
      <c r="L140" s="317"/>
      <c r="M140" s="319"/>
      <c r="N140" s="319"/>
      <c r="O140" s="319"/>
    </row>
    <row r="141" spans="1:18">
      <c r="A141" s="296"/>
      <c r="B141" s="323" t="s">
        <v>748</v>
      </c>
      <c r="C141" s="317">
        <f>C137*0.3</f>
        <v>10800</v>
      </c>
      <c r="D141" s="319" t="s">
        <v>42</v>
      </c>
      <c r="E141" s="319"/>
      <c r="F141" s="319"/>
      <c r="K141" s="323" t="s">
        <v>748</v>
      </c>
      <c r="L141" s="317">
        <f>L137*0.3</f>
        <v>10800</v>
      </c>
      <c r="M141" s="319" t="s">
        <v>42</v>
      </c>
      <c r="N141" s="319"/>
      <c r="O141" s="319"/>
    </row>
    <row r="142" spans="1:18">
      <c r="A142" s="297"/>
      <c r="B142" s="323" t="s">
        <v>749</v>
      </c>
      <c r="C142" s="317">
        <f>C138*0.18</f>
        <v>11160</v>
      </c>
      <c r="D142" s="319" t="s">
        <v>42</v>
      </c>
      <c r="E142" s="319"/>
      <c r="F142" s="319"/>
      <c r="K142" s="323" t="s">
        <v>749</v>
      </c>
      <c r="L142" s="317">
        <f>L138*0.18</f>
        <v>11160</v>
      </c>
      <c r="M142" s="319" t="s">
        <v>42</v>
      </c>
      <c r="N142" s="319"/>
      <c r="O142" s="319"/>
    </row>
    <row r="143" spans="1:18">
      <c r="A143" s="149"/>
      <c r="B143" s="326" t="s">
        <v>750</v>
      </c>
      <c r="C143" s="317"/>
      <c r="D143" s="319"/>
      <c r="E143" s="319"/>
      <c r="F143" s="319"/>
      <c r="K143" s="326" t="s">
        <v>750</v>
      </c>
      <c r="L143" s="317"/>
      <c r="M143" s="319"/>
      <c r="N143" s="319"/>
      <c r="O143" s="319"/>
    </row>
    <row r="144" spans="1:18">
      <c r="A144" s="299"/>
      <c r="B144" s="323" t="s">
        <v>751</v>
      </c>
      <c r="C144" s="317">
        <f>C141*0.75</f>
        <v>8100</v>
      </c>
      <c r="D144" s="319" t="s">
        <v>42</v>
      </c>
      <c r="E144" s="319"/>
      <c r="F144" s="319"/>
      <c r="K144" s="323" t="s">
        <v>751</v>
      </c>
      <c r="L144" s="317">
        <f>L141*0.75</f>
        <v>8100</v>
      </c>
      <c r="M144" s="319" t="s">
        <v>42</v>
      </c>
      <c r="N144" s="319"/>
      <c r="O144" s="319"/>
    </row>
    <row r="145" spans="1:18">
      <c r="A145" s="149"/>
      <c r="B145" s="323" t="s">
        <v>752</v>
      </c>
      <c r="C145" s="317">
        <f>C142*0.75</f>
        <v>8370</v>
      </c>
      <c r="D145" s="319" t="s">
        <v>42</v>
      </c>
      <c r="E145" s="319"/>
      <c r="F145" s="319"/>
      <c r="K145" s="323" t="s">
        <v>752</v>
      </c>
      <c r="L145" s="317">
        <f>L142*0.75</f>
        <v>8370</v>
      </c>
      <c r="M145" s="319" t="s">
        <v>42</v>
      </c>
      <c r="N145" s="319"/>
      <c r="O145" s="319"/>
    </row>
    <row r="146" spans="1:18">
      <c r="A146" s="297"/>
      <c r="B146" s="316"/>
      <c r="C146" s="315"/>
      <c r="D146" s="316"/>
      <c r="E146" s="316"/>
      <c r="F146" s="316"/>
      <c r="K146" s="316"/>
      <c r="L146" s="315"/>
      <c r="M146" s="316"/>
      <c r="N146" s="316"/>
      <c r="O146" s="316"/>
    </row>
    <row r="147" spans="1:18" ht="15.75">
      <c r="A147" s="297"/>
      <c r="B147" s="29" t="s">
        <v>753</v>
      </c>
      <c r="C147" s="144"/>
      <c r="D147" s="316"/>
      <c r="E147" s="316"/>
      <c r="F147" s="316"/>
      <c r="G147" s="266"/>
      <c r="H147" s="76"/>
      <c r="I147" s="76"/>
      <c r="J147" s="76"/>
      <c r="K147" s="29" t="s">
        <v>753</v>
      </c>
      <c r="L147" s="144"/>
      <c r="M147" s="316"/>
      <c r="N147" s="316"/>
      <c r="O147" s="316"/>
      <c r="P147" s="266"/>
      <c r="Q147" s="76"/>
      <c r="R147" s="76"/>
    </row>
    <row r="148" spans="1:18" ht="13.5" thickBot="1">
      <c r="A148" s="297"/>
      <c r="B148" s="321"/>
      <c r="C148" s="84" t="s">
        <v>121</v>
      </c>
      <c r="D148" s="316"/>
      <c r="E148" s="316"/>
      <c r="F148" s="316"/>
      <c r="G148" s="266"/>
      <c r="H148" s="76"/>
      <c r="I148" s="76"/>
      <c r="J148" s="76"/>
      <c r="K148" s="321"/>
      <c r="L148" s="84" t="s">
        <v>121</v>
      </c>
      <c r="M148" s="316"/>
      <c r="N148" s="316"/>
      <c r="O148" s="316"/>
      <c r="P148" s="266"/>
      <c r="Q148" s="76"/>
      <c r="R148" s="76"/>
    </row>
    <row r="149" spans="1:18" ht="14.25">
      <c r="A149" s="297"/>
      <c r="B149" s="323" t="s">
        <v>754</v>
      </c>
      <c r="C149" s="347">
        <v>5800</v>
      </c>
      <c r="D149" s="319" t="s">
        <v>42</v>
      </c>
      <c r="E149" s="327">
        <f>C149/145.04</f>
        <v>39.988968560397133</v>
      </c>
      <c r="F149" s="319" t="s">
        <v>738</v>
      </c>
      <c r="G149" s="328"/>
      <c r="H149" s="329"/>
      <c r="I149" s="76"/>
      <c r="J149" s="76"/>
      <c r="K149" s="323" t="s">
        <v>754</v>
      </c>
      <c r="L149" s="324">
        <v>5800</v>
      </c>
      <c r="M149" s="319" t="s">
        <v>42</v>
      </c>
      <c r="N149" s="327">
        <f>L149/145.04</f>
        <v>39.988968560397133</v>
      </c>
      <c r="O149" s="319" t="s">
        <v>738</v>
      </c>
      <c r="P149" s="328"/>
      <c r="Q149" s="329"/>
      <c r="R149" s="76"/>
    </row>
    <row r="150" spans="1:18" ht="14.25">
      <c r="A150" s="296"/>
      <c r="B150" s="69" t="s">
        <v>755</v>
      </c>
      <c r="C150" s="349" t="s">
        <v>756</v>
      </c>
      <c r="D150" s="319" t="s">
        <v>563</v>
      </c>
      <c r="E150" s="319"/>
      <c r="F150" s="319"/>
      <c r="G150" s="328"/>
      <c r="H150" s="329"/>
      <c r="I150" s="76"/>
      <c r="J150" s="76"/>
      <c r="K150" s="69" t="s">
        <v>755</v>
      </c>
      <c r="L150" s="330" t="s">
        <v>756</v>
      </c>
      <c r="M150" s="319" t="s">
        <v>563</v>
      </c>
      <c r="N150" s="319"/>
      <c r="O150" s="319"/>
      <c r="P150" s="328"/>
      <c r="Q150" s="329"/>
      <c r="R150" s="76"/>
    </row>
    <row r="151" spans="1:18" ht="14.25">
      <c r="A151" s="296"/>
      <c r="B151" s="69" t="s">
        <v>757</v>
      </c>
      <c r="C151" s="350">
        <v>2</v>
      </c>
      <c r="D151" s="319" t="s">
        <v>563</v>
      </c>
      <c r="E151" s="326" t="s">
        <v>758</v>
      </c>
      <c r="F151" s="319"/>
      <c r="G151" s="328"/>
      <c r="H151" s="329"/>
      <c r="I151" s="76"/>
      <c r="J151" s="76"/>
      <c r="K151" s="69" t="s">
        <v>757</v>
      </c>
      <c r="L151" s="331">
        <v>2</v>
      </c>
      <c r="M151" s="319" t="s">
        <v>563</v>
      </c>
      <c r="N151" s="319"/>
      <c r="O151" s="319"/>
      <c r="P151" s="328"/>
      <c r="Q151" s="329"/>
      <c r="R151" s="76"/>
    </row>
    <row r="152" spans="1:18" ht="14.25">
      <c r="A152" s="297"/>
      <c r="B152" s="69" t="s">
        <v>759</v>
      </c>
      <c r="C152" s="350">
        <v>2</v>
      </c>
      <c r="D152" s="25" t="s">
        <v>563</v>
      </c>
      <c r="E152" s="319"/>
      <c r="F152" s="319"/>
      <c r="G152" s="328"/>
      <c r="H152" s="329"/>
      <c r="I152" s="76"/>
      <c r="J152" s="76"/>
      <c r="K152" s="69" t="s">
        <v>759</v>
      </c>
      <c r="L152" s="331">
        <v>2</v>
      </c>
      <c r="M152" s="25" t="s">
        <v>563</v>
      </c>
      <c r="N152" s="319"/>
      <c r="O152" s="319"/>
      <c r="P152" s="328"/>
      <c r="Q152" s="329"/>
      <c r="R152" s="76"/>
    </row>
    <row r="153" spans="1:18" ht="14.25">
      <c r="A153" s="297"/>
      <c r="B153" s="323" t="s">
        <v>760</v>
      </c>
      <c r="C153" s="332">
        <v>2</v>
      </c>
      <c r="D153" s="319" t="s">
        <v>563</v>
      </c>
      <c r="E153" s="319"/>
      <c r="F153" s="319"/>
      <c r="G153" s="328"/>
      <c r="H153" s="329"/>
      <c r="I153" s="76"/>
      <c r="J153" s="76"/>
      <c r="K153" s="323" t="s">
        <v>760</v>
      </c>
      <c r="L153" s="332">
        <v>2</v>
      </c>
      <c r="M153" s="319" t="s">
        <v>563</v>
      </c>
      <c r="N153" s="319"/>
      <c r="O153" s="319"/>
      <c r="P153" s="328"/>
      <c r="Q153" s="329"/>
      <c r="R153" s="76"/>
    </row>
    <row r="154" spans="1:18" ht="14.25">
      <c r="A154" s="297"/>
      <c r="B154" s="323" t="s">
        <v>761</v>
      </c>
      <c r="C154" s="351">
        <v>1.23811232836388</v>
      </c>
      <c r="D154" s="319" t="s">
        <v>30</v>
      </c>
      <c r="E154" s="319"/>
      <c r="F154" s="334"/>
      <c r="G154" s="335"/>
      <c r="H154" s="329"/>
      <c r="I154" s="76"/>
      <c r="J154" s="76"/>
      <c r="K154" s="323" t="s">
        <v>761</v>
      </c>
      <c r="L154" s="333">
        <v>1.0476725301793988E-2</v>
      </c>
      <c r="M154" s="319" t="s">
        <v>30</v>
      </c>
      <c r="N154" s="319"/>
      <c r="O154" s="334"/>
      <c r="P154" s="335"/>
      <c r="Q154" s="329"/>
      <c r="R154" s="76"/>
    </row>
    <row r="155" spans="1:18" ht="15" thickBot="1">
      <c r="A155" s="297"/>
      <c r="B155" s="323" t="s">
        <v>762</v>
      </c>
      <c r="C155" s="352">
        <v>0</v>
      </c>
      <c r="D155" s="319" t="s">
        <v>30</v>
      </c>
      <c r="E155" s="334"/>
      <c r="F155" s="319"/>
      <c r="G155" s="328"/>
      <c r="H155" s="337"/>
      <c r="K155" s="323" t="s">
        <v>762</v>
      </c>
      <c r="L155" s="336">
        <v>0</v>
      </c>
      <c r="M155" s="319" t="s">
        <v>30</v>
      </c>
      <c r="N155" s="334"/>
      <c r="O155" s="319"/>
      <c r="P155" s="328"/>
      <c r="Q155" s="337"/>
    </row>
    <row r="156" spans="1:18" ht="14.25">
      <c r="A156" s="297"/>
      <c r="B156" s="319"/>
      <c r="C156" s="84" t="s">
        <v>447</v>
      </c>
      <c r="D156" s="319"/>
      <c r="E156" s="319"/>
      <c r="F156" s="319"/>
      <c r="G156" s="328"/>
      <c r="H156" s="337"/>
      <c r="K156" s="319"/>
      <c r="L156" s="84" t="s">
        <v>447</v>
      </c>
      <c r="M156" s="319"/>
      <c r="N156" s="319"/>
      <c r="O156" s="319"/>
      <c r="P156" s="328"/>
      <c r="Q156" s="337"/>
    </row>
    <row r="157" spans="1:18" ht="14.25">
      <c r="A157" s="149"/>
      <c r="B157" s="54" t="s">
        <v>763</v>
      </c>
      <c r="C157" s="338">
        <f>C46</f>
        <v>1080.4356119944723</v>
      </c>
      <c r="D157" s="326" t="s">
        <v>764</v>
      </c>
      <c r="E157" s="326"/>
      <c r="F157" s="319"/>
      <c r="G157" s="328"/>
      <c r="H157" s="337"/>
      <c r="K157" s="54" t="s">
        <v>763</v>
      </c>
      <c r="L157" s="338">
        <f>L46</f>
        <v>0</v>
      </c>
      <c r="M157" s="326" t="s">
        <v>764</v>
      </c>
      <c r="N157" s="326"/>
      <c r="O157" s="319"/>
      <c r="P157" s="328"/>
      <c r="Q157" s="337"/>
    </row>
    <row r="158" spans="1:18" ht="14.25">
      <c r="A158" s="297"/>
      <c r="B158" s="339" t="s">
        <v>765</v>
      </c>
      <c r="C158" s="338">
        <f>C117</f>
        <v>1184.6188048977181</v>
      </c>
      <c r="D158" s="326" t="s">
        <v>764</v>
      </c>
      <c r="E158" s="326"/>
      <c r="F158" s="319"/>
      <c r="G158" s="328"/>
      <c r="H158" s="337"/>
      <c r="K158" s="339" t="s">
        <v>765</v>
      </c>
      <c r="L158" s="338">
        <f>L117</f>
        <v>0</v>
      </c>
      <c r="M158" s="326" t="s">
        <v>764</v>
      </c>
      <c r="N158" s="326"/>
      <c r="O158" s="319"/>
      <c r="P158" s="328"/>
      <c r="Q158" s="337"/>
    </row>
    <row r="159" spans="1:18" ht="14.25">
      <c r="A159" s="297"/>
      <c r="B159" s="54" t="s">
        <v>766</v>
      </c>
      <c r="C159" s="340">
        <f>C155/C154</f>
        <v>0</v>
      </c>
      <c r="D159" s="326"/>
      <c r="E159" s="326"/>
      <c r="F159" s="319"/>
      <c r="G159" s="328"/>
      <c r="H159" s="337"/>
      <c r="K159" s="54" t="s">
        <v>766</v>
      </c>
      <c r="L159" s="340">
        <f>L155/L154</f>
        <v>0</v>
      </c>
      <c r="M159" s="326"/>
      <c r="N159" s="326"/>
      <c r="O159" s="319"/>
      <c r="P159" s="328"/>
      <c r="Q159" s="337"/>
    </row>
    <row r="160" spans="1:18" ht="14.25">
      <c r="A160" s="297"/>
      <c r="B160" s="339" t="s">
        <v>767</v>
      </c>
      <c r="C160" s="341"/>
      <c r="D160" s="326"/>
      <c r="E160" s="326"/>
      <c r="F160" s="319"/>
      <c r="G160" s="328"/>
      <c r="H160" s="337"/>
      <c r="K160" s="339" t="s">
        <v>767</v>
      </c>
      <c r="L160" s="341"/>
      <c r="M160" s="326"/>
      <c r="N160" s="326"/>
      <c r="O160" s="319"/>
      <c r="P160" s="328"/>
      <c r="Q160" s="337"/>
    </row>
    <row r="161" spans="1:18" ht="14.25">
      <c r="A161" s="297"/>
      <c r="B161" s="339" t="s">
        <v>754</v>
      </c>
      <c r="C161" s="342" t="s">
        <v>768</v>
      </c>
      <c r="D161" s="326"/>
      <c r="E161" s="326"/>
      <c r="F161" s="319"/>
      <c r="G161" s="328"/>
      <c r="H161" s="337"/>
      <c r="K161" s="339" t="s">
        <v>754</v>
      </c>
      <c r="L161" s="342" t="s">
        <v>768</v>
      </c>
      <c r="M161" s="326"/>
      <c r="N161" s="326"/>
      <c r="O161" s="319"/>
      <c r="P161" s="328"/>
      <c r="Q161" s="337"/>
    </row>
    <row r="162" spans="1:18" ht="15" thickBot="1">
      <c r="A162" s="297"/>
      <c r="B162" s="339" t="s">
        <v>769</v>
      </c>
      <c r="C162" s="342" t="s">
        <v>770</v>
      </c>
      <c r="D162" s="326"/>
      <c r="E162" s="326"/>
      <c r="F162" s="319"/>
      <c r="G162" s="328"/>
      <c r="H162" s="337"/>
      <c r="K162" s="339" t="s">
        <v>769</v>
      </c>
      <c r="L162" s="342" t="s">
        <v>770</v>
      </c>
      <c r="M162" s="326"/>
      <c r="N162" s="326"/>
      <c r="O162" s="319"/>
      <c r="P162" s="328"/>
      <c r="Q162" s="337"/>
    </row>
    <row r="163" spans="1:18" ht="15" thickBot="1">
      <c r="A163" s="297"/>
      <c r="B163" s="339" t="s">
        <v>771</v>
      </c>
      <c r="C163" s="343">
        <f>((16/((3.1416*C154^3)*(1-C159^4)))*(((C151*C158+((1*1*C154*(1+C159^2)/8))^2+(C152*C157)^2)^(1/2)))) - C149</f>
        <v>-4.6278637455543503E-5</v>
      </c>
      <c r="D163" s="326" t="s">
        <v>42</v>
      </c>
      <c r="E163" s="326"/>
      <c r="F163" s="319"/>
      <c r="G163" s="328"/>
      <c r="H163" s="337"/>
      <c r="K163" s="339" t="s">
        <v>771</v>
      </c>
      <c r="L163" s="358">
        <f>((16/((3.1416*L154^3)*(1-L159^4)))*(((L151*L158+((1*1*L154*(1+L159^2)/8))^2+(L152*L157)^2)^(1/2)))) - L149</f>
        <v>-7.7849108492955565E-8</v>
      </c>
      <c r="M163" s="326" t="s">
        <v>42</v>
      </c>
      <c r="N163" s="326"/>
      <c r="O163" s="319"/>
      <c r="P163" s="328"/>
      <c r="Q163" s="337"/>
    </row>
    <row r="164" spans="1:18" ht="14.25">
      <c r="A164" s="297"/>
      <c r="B164" s="54" t="s">
        <v>772</v>
      </c>
      <c r="C164" s="344">
        <f>C154</f>
        <v>1.23811232836388</v>
      </c>
      <c r="D164" s="326" t="s">
        <v>30</v>
      </c>
      <c r="E164" s="326"/>
      <c r="F164" s="319"/>
      <c r="G164" s="328"/>
      <c r="H164" s="337"/>
      <c r="K164" s="54" t="s">
        <v>772</v>
      </c>
      <c r="L164" s="344">
        <f>L154</f>
        <v>1.0476725301793988E-2</v>
      </c>
      <c r="M164" s="326" t="s">
        <v>30</v>
      </c>
      <c r="N164" s="326"/>
      <c r="O164" s="319"/>
      <c r="P164" s="328"/>
      <c r="Q164" s="337"/>
    </row>
    <row r="165" spans="1:18" ht="14.25">
      <c r="A165" s="297"/>
      <c r="B165" s="54" t="s">
        <v>773</v>
      </c>
      <c r="C165" s="344">
        <v>1.25</v>
      </c>
      <c r="D165" s="326" t="s">
        <v>30</v>
      </c>
      <c r="E165" s="326"/>
      <c r="F165" s="319"/>
      <c r="G165" s="328"/>
      <c r="H165" s="337"/>
      <c r="K165" s="54" t="s">
        <v>773</v>
      </c>
      <c r="L165" s="344">
        <v>1.25</v>
      </c>
      <c r="M165" s="326" t="s">
        <v>30</v>
      </c>
      <c r="N165" s="326"/>
      <c r="O165" s="319"/>
      <c r="P165" s="328"/>
      <c r="Q165" s="337"/>
    </row>
    <row r="166" spans="1:18" ht="14.25">
      <c r="A166" s="297"/>
      <c r="B166" s="319"/>
      <c r="C166" s="71"/>
      <c r="D166" s="25"/>
      <c r="E166" s="319"/>
      <c r="F166" s="319"/>
      <c r="G166" s="328"/>
      <c r="H166" s="328"/>
      <c r="I166" s="266"/>
      <c r="J166" s="266"/>
      <c r="K166" s="266"/>
      <c r="L166" s="266"/>
      <c r="M166" s="266"/>
      <c r="N166" s="266"/>
      <c r="O166" s="266"/>
      <c r="P166" s="266"/>
      <c r="Q166" s="266"/>
      <c r="R166" s="266"/>
    </row>
    <row r="167" spans="1:18">
      <c r="A167" s="297"/>
      <c r="B167" s="316"/>
      <c r="C167" s="315"/>
      <c r="D167" s="316"/>
      <c r="E167" s="316"/>
      <c r="F167" s="51"/>
      <c r="G167" s="266"/>
      <c r="H167" s="266"/>
      <c r="I167" s="266"/>
      <c r="J167" s="266"/>
      <c r="K167" s="266"/>
      <c r="L167" s="266"/>
      <c r="M167" s="266"/>
      <c r="N167" s="266"/>
      <c r="O167" s="266"/>
      <c r="P167" s="266"/>
      <c r="Q167" s="266"/>
      <c r="R167" s="266"/>
    </row>
    <row r="168" spans="1:18">
      <c r="A168" s="297"/>
      <c r="B168" s="316"/>
      <c r="C168" s="315"/>
      <c r="D168" s="316"/>
      <c r="E168" s="316"/>
      <c r="F168" s="316"/>
      <c r="G168" s="266"/>
      <c r="H168" s="266"/>
      <c r="I168" s="266"/>
      <c r="J168" s="266"/>
      <c r="K168" s="266"/>
      <c r="L168" s="266"/>
      <c r="M168" s="266"/>
      <c r="N168" s="266"/>
      <c r="O168" s="266"/>
      <c r="P168" s="266"/>
      <c r="Q168" s="266"/>
      <c r="R168" s="266"/>
    </row>
    <row r="169" spans="1:18" ht="15.75">
      <c r="A169" s="297"/>
      <c r="B169" s="29" t="s">
        <v>478</v>
      </c>
      <c r="C169" s="315"/>
      <c r="D169" s="316"/>
      <c r="E169" s="316"/>
      <c r="F169" s="316"/>
      <c r="G169" s="266"/>
      <c r="H169" s="266"/>
      <c r="I169" s="266"/>
      <c r="J169" s="266"/>
      <c r="K169" s="266"/>
      <c r="L169" s="266"/>
      <c r="M169" s="266"/>
      <c r="N169" s="266"/>
      <c r="O169" s="266"/>
      <c r="P169" s="266"/>
      <c r="Q169" s="266"/>
      <c r="R169" s="266"/>
    </row>
    <row r="170" spans="1:18">
      <c r="A170" s="297"/>
      <c r="B170" s="321"/>
      <c r="C170" s="315"/>
      <c r="D170" s="316"/>
      <c r="E170" s="316"/>
      <c r="F170" s="316"/>
      <c r="G170" s="266"/>
      <c r="H170" s="266"/>
      <c r="I170" s="266"/>
      <c r="J170" s="266"/>
      <c r="K170" s="266"/>
      <c r="L170" s="266"/>
      <c r="M170" s="266"/>
      <c r="N170" s="266"/>
      <c r="O170" s="266"/>
      <c r="P170" s="266"/>
      <c r="Q170" s="266"/>
      <c r="R170" s="266"/>
    </row>
    <row r="171" spans="1:18">
      <c r="A171" s="297"/>
      <c r="B171" s="321"/>
      <c r="C171" s="315"/>
      <c r="D171" s="316"/>
      <c r="E171" s="316"/>
      <c r="F171" s="316"/>
      <c r="G171" s="266"/>
      <c r="H171" s="266"/>
      <c r="I171" s="266"/>
      <c r="J171" s="266"/>
      <c r="K171" s="266"/>
      <c r="L171" s="266"/>
      <c r="M171" s="266"/>
      <c r="N171" s="266"/>
      <c r="O171" s="266"/>
      <c r="P171" s="266"/>
      <c r="Q171" s="266"/>
      <c r="R171" s="266"/>
    </row>
    <row r="172" spans="1:18">
      <c r="A172" s="297"/>
      <c r="B172" s="321"/>
      <c r="C172" s="315"/>
      <c r="D172" s="316"/>
      <c r="E172" s="316"/>
      <c r="F172" s="316"/>
      <c r="G172" s="266"/>
      <c r="H172" s="266"/>
      <c r="I172" s="266"/>
      <c r="J172" s="266"/>
      <c r="K172" s="266"/>
      <c r="L172" s="266"/>
      <c r="M172" s="266"/>
      <c r="N172" s="266"/>
      <c r="O172" s="266"/>
      <c r="P172" s="266"/>
      <c r="Q172" s="266"/>
      <c r="R172" s="266"/>
    </row>
    <row r="173" spans="1:18">
      <c r="A173" s="297"/>
      <c r="B173" s="321"/>
      <c r="C173" s="315"/>
      <c r="D173" s="316"/>
      <c r="E173" s="316"/>
      <c r="F173" s="316"/>
      <c r="G173" s="266"/>
      <c r="H173" s="266"/>
      <c r="I173" s="266"/>
      <c r="J173" s="266"/>
      <c r="K173" s="266"/>
      <c r="L173" s="266"/>
      <c r="M173" s="266"/>
      <c r="N173" s="266"/>
      <c r="O173" s="266"/>
      <c r="P173" s="266"/>
      <c r="Q173" s="266"/>
      <c r="R173" s="266"/>
    </row>
    <row r="174" spans="1:18">
      <c r="A174" s="297"/>
      <c r="B174" s="321"/>
      <c r="C174" s="315"/>
      <c r="D174" s="316"/>
      <c r="E174" s="316"/>
      <c r="F174" s="316"/>
      <c r="G174" s="266"/>
      <c r="H174" s="266"/>
      <c r="I174" s="266"/>
      <c r="J174" s="266"/>
      <c r="K174" s="266"/>
      <c r="L174" s="266"/>
      <c r="M174" s="266"/>
      <c r="N174" s="266"/>
      <c r="O174" s="266"/>
      <c r="P174" s="266"/>
      <c r="Q174" s="266"/>
      <c r="R174" s="266"/>
    </row>
    <row r="175" spans="1:18">
      <c r="A175" s="297"/>
      <c r="B175" s="321"/>
      <c r="C175" s="315"/>
      <c r="D175" s="316"/>
      <c r="E175" s="316"/>
      <c r="F175" s="316"/>
      <c r="G175" s="266"/>
      <c r="H175" s="266"/>
      <c r="I175" s="266"/>
      <c r="J175" s="266"/>
      <c r="K175" s="266"/>
      <c r="L175" s="266"/>
      <c r="M175" s="266"/>
      <c r="N175" s="266"/>
      <c r="O175" s="266"/>
      <c r="P175" s="266"/>
      <c r="Q175" s="266"/>
      <c r="R175" s="266"/>
    </row>
    <row r="176" spans="1:18">
      <c r="A176" s="297"/>
      <c r="B176" s="321"/>
      <c r="C176" s="315"/>
      <c r="D176" s="316"/>
      <c r="E176" s="316"/>
      <c r="F176" s="316"/>
      <c r="G176" s="266"/>
      <c r="H176" s="266"/>
      <c r="I176" s="266"/>
      <c r="J176" s="266"/>
      <c r="K176" s="266"/>
      <c r="L176" s="266"/>
      <c r="M176" s="266"/>
      <c r="N176" s="266"/>
      <c r="O176" s="266"/>
      <c r="P176" s="266"/>
      <c r="Q176" s="266"/>
      <c r="R176" s="266"/>
    </row>
    <row r="177" spans="1:18">
      <c r="A177" s="297"/>
      <c r="B177" s="321"/>
      <c r="C177" s="315"/>
      <c r="D177" s="316"/>
      <c r="E177" s="316"/>
      <c r="F177" s="316"/>
      <c r="G177" s="266"/>
      <c r="H177" s="266"/>
      <c r="I177" s="266"/>
      <c r="J177" s="266"/>
      <c r="K177" s="266"/>
      <c r="L177" s="266"/>
      <c r="M177" s="266"/>
      <c r="N177" s="266"/>
      <c r="O177" s="266"/>
      <c r="P177" s="266"/>
      <c r="Q177" s="266"/>
      <c r="R177" s="266"/>
    </row>
    <row r="178" spans="1:18">
      <c r="A178" s="297"/>
      <c r="B178" s="321"/>
      <c r="C178" s="315"/>
      <c r="D178" s="316"/>
      <c r="E178" s="316"/>
      <c r="F178" s="316"/>
      <c r="G178" s="266"/>
      <c r="H178" s="266"/>
      <c r="I178" s="266"/>
      <c r="J178" s="266"/>
      <c r="K178" s="266"/>
      <c r="L178" s="266"/>
      <c r="M178" s="266"/>
      <c r="N178" s="266"/>
      <c r="O178" s="266"/>
      <c r="P178" s="266"/>
      <c r="Q178" s="266"/>
      <c r="R178" s="266"/>
    </row>
    <row r="179" spans="1:18">
      <c r="A179" s="297"/>
      <c r="B179" s="321"/>
      <c r="C179" s="315"/>
      <c r="D179" s="316"/>
      <c r="E179" s="316"/>
      <c r="F179" s="316"/>
      <c r="G179" s="266"/>
      <c r="H179" s="266"/>
      <c r="I179" s="266"/>
      <c r="J179" s="266"/>
      <c r="K179" s="266"/>
      <c r="L179" s="266"/>
      <c r="M179" s="266"/>
      <c r="N179" s="266"/>
      <c r="O179" s="266"/>
      <c r="P179" s="266"/>
      <c r="Q179" s="266"/>
      <c r="R179" s="266"/>
    </row>
    <row r="180" spans="1:18">
      <c r="A180" s="297"/>
      <c r="B180" s="321"/>
      <c r="C180" s="315"/>
      <c r="D180" s="316"/>
      <c r="E180" s="316"/>
      <c r="F180" s="316"/>
      <c r="G180" s="266"/>
      <c r="H180" s="266"/>
      <c r="I180" s="266"/>
      <c r="J180" s="266"/>
      <c r="K180" s="266"/>
      <c r="L180" s="266"/>
      <c r="M180" s="266"/>
      <c r="N180" s="266"/>
      <c r="O180" s="266"/>
      <c r="P180" s="266"/>
      <c r="Q180" s="266"/>
      <c r="R180" s="266"/>
    </row>
    <row r="181" spans="1:18">
      <c r="A181" s="297"/>
      <c r="B181" s="321"/>
      <c r="C181" s="315"/>
      <c r="D181" s="316"/>
      <c r="E181" s="316"/>
      <c r="F181" s="316"/>
      <c r="G181" s="266"/>
      <c r="H181" s="266"/>
      <c r="I181" s="266"/>
      <c r="J181" s="266"/>
      <c r="K181" s="266"/>
      <c r="L181" s="266"/>
      <c r="M181" s="266"/>
      <c r="N181" s="266"/>
      <c r="O181" s="266"/>
      <c r="P181" s="266"/>
      <c r="Q181" s="266"/>
      <c r="R181" s="266"/>
    </row>
    <row r="182" spans="1:18">
      <c r="A182" s="297"/>
      <c r="B182" s="321"/>
      <c r="C182" s="315"/>
      <c r="D182" s="316"/>
      <c r="E182" s="316"/>
      <c r="F182" s="316"/>
      <c r="G182" s="266"/>
      <c r="H182" s="266"/>
      <c r="I182" s="266"/>
      <c r="J182" s="266"/>
      <c r="K182" s="266"/>
      <c r="L182" s="266"/>
      <c r="M182" s="266"/>
      <c r="N182" s="266"/>
      <c r="O182" s="266"/>
      <c r="P182" s="266"/>
      <c r="Q182" s="266"/>
      <c r="R182" s="266"/>
    </row>
    <row r="183" spans="1:18">
      <c r="A183" s="297"/>
      <c r="B183" s="321"/>
      <c r="C183" s="315"/>
      <c r="D183" s="316"/>
      <c r="E183" s="316"/>
      <c r="F183" s="316"/>
      <c r="G183" s="266"/>
      <c r="H183" s="266"/>
      <c r="I183" s="266"/>
      <c r="J183" s="266"/>
      <c r="K183" s="266"/>
      <c r="L183" s="266"/>
      <c r="M183" s="266"/>
      <c r="N183" s="266"/>
      <c r="O183" s="266"/>
      <c r="P183" s="266"/>
      <c r="Q183" s="266"/>
      <c r="R183" s="266"/>
    </row>
    <row r="184" spans="1:18">
      <c r="A184" s="297"/>
      <c r="B184" s="321"/>
      <c r="C184" s="315"/>
      <c r="D184" s="316"/>
      <c r="E184" s="316"/>
      <c r="F184" s="316"/>
      <c r="G184" s="266"/>
      <c r="H184" s="266"/>
      <c r="I184" s="266"/>
      <c r="J184" s="266"/>
      <c r="K184" s="266"/>
      <c r="L184" s="266"/>
      <c r="M184" s="266"/>
      <c r="N184" s="266"/>
      <c r="O184" s="266"/>
      <c r="P184" s="266"/>
      <c r="Q184" s="266"/>
      <c r="R184" s="266"/>
    </row>
    <row r="185" spans="1:18">
      <c r="A185" s="297"/>
      <c r="B185" s="321"/>
      <c r="C185" s="315"/>
      <c r="D185" s="316"/>
      <c r="E185" s="316"/>
      <c r="F185" s="316"/>
      <c r="G185" s="266"/>
      <c r="H185" s="266"/>
      <c r="I185" s="266"/>
      <c r="J185" s="266"/>
      <c r="K185" s="266"/>
      <c r="L185" s="266"/>
      <c r="M185" s="266"/>
      <c r="N185" s="266"/>
      <c r="O185" s="266"/>
      <c r="P185" s="266"/>
      <c r="Q185" s="266"/>
      <c r="R185" s="266"/>
    </row>
    <row r="186" spans="1:18">
      <c r="A186" s="297"/>
      <c r="B186" s="321"/>
      <c r="C186" s="315"/>
      <c r="D186" s="316"/>
      <c r="E186" s="316"/>
      <c r="F186" s="316"/>
      <c r="G186" s="266"/>
      <c r="H186" s="266"/>
      <c r="I186" s="266"/>
      <c r="J186" s="266"/>
      <c r="K186" s="266"/>
      <c r="L186" s="266"/>
      <c r="M186" s="266"/>
      <c r="N186" s="266"/>
      <c r="O186" s="266"/>
      <c r="P186" s="266"/>
      <c r="Q186" s="266"/>
      <c r="R186" s="266"/>
    </row>
    <row r="187" spans="1:18">
      <c r="A187" s="297"/>
      <c r="B187" s="321"/>
      <c r="C187" s="315"/>
      <c r="D187" s="316"/>
      <c r="E187" s="316"/>
      <c r="F187" s="316"/>
      <c r="G187" s="266"/>
      <c r="H187" s="266"/>
      <c r="I187" s="266"/>
      <c r="J187" s="266"/>
      <c r="K187" s="266"/>
      <c r="L187" s="266"/>
      <c r="M187" s="266"/>
      <c r="N187" s="266"/>
      <c r="O187" s="266"/>
      <c r="P187" s="266"/>
      <c r="Q187" s="266"/>
      <c r="R187" s="266"/>
    </row>
    <row r="188" spans="1:18">
      <c r="A188" s="297"/>
      <c r="B188" s="321"/>
      <c r="C188" s="315"/>
      <c r="D188" s="316"/>
      <c r="E188" s="316"/>
      <c r="F188" s="316"/>
      <c r="G188" s="266"/>
      <c r="H188" s="266"/>
      <c r="I188" s="266"/>
      <c r="J188" s="266"/>
      <c r="K188" s="266"/>
      <c r="L188" s="266"/>
      <c r="M188" s="266"/>
      <c r="N188" s="266"/>
      <c r="O188" s="266"/>
      <c r="P188" s="266"/>
      <c r="Q188" s="266"/>
      <c r="R188" s="266"/>
    </row>
    <row r="189" spans="1:18">
      <c r="A189" s="297"/>
      <c r="B189" s="321"/>
      <c r="C189" s="315"/>
      <c r="D189" s="316"/>
      <c r="E189" s="316"/>
      <c r="F189" s="316"/>
      <c r="G189" s="266"/>
      <c r="H189" s="266"/>
      <c r="I189" s="266"/>
      <c r="J189" s="266"/>
      <c r="K189" s="266"/>
      <c r="L189" s="266"/>
      <c r="M189" s="266"/>
      <c r="N189" s="266"/>
      <c r="O189" s="266"/>
      <c r="P189" s="266"/>
      <c r="Q189" s="266"/>
      <c r="R189" s="266"/>
    </row>
    <row r="190" spans="1:18">
      <c r="A190" s="297"/>
      <c r="B190" s="321"/>
      <c r="C190" s="315"/>
      <c r="D190" s="316"/>
      <c r="E190" s="316"/>
      <c r="F190" s="316"/>
      <c r="G190" s="266"/>
      <c r="H190" s="266"/>
      <c r="I190" s="266"/>
      <c r="J190" s="266"/>
      <c r="K190" s="266"/>
      <c r="L190" s="266"/>
      <c r="M190" s="266"/>
      <c r="N190" s="266"/>
      <c r="O190" s="266"/>
      <c r="P190" s="266"/>
      <c r="Q190" s="266"/>
      <c r="R190" s="266"/>
    </row>
    <row r="191" spans="1:18">
      <c r="A191" s="297"/>
      <c r="B191" s="321"/>
      <c r="C191" s="315"/>
      <c r="D191" s="316"/>
      <c r="E191" s="316"/>
      <c r="F191" s="316"/>
      <c r="G191" s="266"/>
      <c r="H191" s="266"/>
      <c r="I191" s="266"/>
      <c r="J191" s="266"/>
      <c r="K191" s="266"/>
      <c r="L191" s="266"/>
      <c r="M191" s="266"/>
      <c r="N191" s="266"/>
      <c r="O191" s="266"/>
      <c r="P191" s="266"/>
      <c r="Q191" s="266"/>
      <c r="R191" s="266"/>
    </row>
    <row r="192" spans="1:18">
      <c r="A192" s="297"/>
      <c r="B192" s="49"/>
      <c r="C192" s="58"/>
      <c r="G192" s="266"/>
      <c r="H192" s="266"/>
      <c r="I192" s="266"/>
      <c r="J192" s="266"/>
      <c r="K192" s="266"/>
      <c r="L192" s="266"/>
      <c r="M192" s="266"/>
      <c r="N192" s="266"/>
      <c r="O192" s="266"/>
      <c r="P192" s="266"/>
      <c r="Q192" s="266"/>
      <c r="R192" s="266"/>
    </row>
    <row r="193" spans="1:18">
      <c r="A193" s="297"/>
      <c r="B193" s="49"/>
      <c r="C193" s="58"/>
      <c r="G193" s="266"/>
      <c r="H193" s="266"/>
      <c r="I193" s="266"/>
      <c r="J193" s="266"/>
      <c r="K193" s="266"/>
      <c r="L193" s="266"/>
      <c r="M193" s="266"/>
      <c r="N193" s="266"/>
      <c r="O193" s="266"/>
      <c r="P193" s="266"/>
      <c r="Q193" s="266"/>
      <c r="R193" s="266"/>
    </row>
    <row r="194" spans="1:18">
      <c r="A194" s="296"/>
      <c r="B194" s="49"/>
      <c r="C194" s="58"/>
      <c r="G194" s="266"/>
      <c r="H194" s="266"/>
      <c r="I194" s="266"/>
      <c r="J194" s="266"/>
      <c r="K194" s="266"/>
      <c r="L194" s="266"/>
      <c r="M194" s="266"/>
      <c r="N194" s="266"/>
      <c r="O194" s="266"/>
      <c r="P194" s="266"/>
      <c r="Q194" s="266"/>
      <c r="R194" s="266"/>
    </row>
    <row r="195" spans="1:18">
      <c r="A195" s="296"/>
      <c r="B195" s="49"/>
      <c r="C195" s="58"/>
      <c r="G195" s="266"/>
      <c r="H195" s="266"/>
      <c r="I195" s="266"/>
      <c r="J195" s="266"/>
      <c r="K195" s="266"/>
      <c r="L195" s="266"/>
      <c r="M195" s="266"/>
      <c r="N195" s="266"/>
      <c r="O195" s="266"/>
      <c r="P195" s="266"/>
      <c r="Q195" s="266"/>
      <c r="R195" s="266"/>
    </row>
    <row r="196" spans="1:18">
      <c r="A196" s="297"/>
      <c r="B196" s="49"/>
      <c r="C196" s="58"/>
      <c r="G196" s="266"/>
      <c r="H196" s="266"/>
      <c r="I196" s="266"/>
      <c r="J196" s="266"/>
      <c r="K196" s="266"/>
      <c r="L196" s="266"/>
      <c r="M196" s="266"/>
      <c r="N196" s="266"/>
      <c r="O196" s="266"/>
      <c r="P196" s="266"/>
      <c r="Q196" s="266"/>
      <c r="R196" s="266"/>
    </row>
    <row r="197" spans="1:18">
      <c r="A197" s="297"/>
      <c r="B197" s="49"/>
      <c r="C197" s="58"/>
      <c r="G197" s="266"/>
      <c r="H197" s="266"/>
      <c r="I197" s="266"/>
      <c r="J197" s="266"/>
      <c r="K197" s="266"/>
      <c r="L197" s="266"/>
      <c r="M197" s="266"/>
      <c r="N197" s="266"/>
      <c r="O197" s="266"/>
      <c r="P197" s="266"/>
      <c r="Q197" s="266"/>
      <c r="R197" s="266"/>
    </row>
    <row r="198" spans="1:18">
      <c r="A198" s="297"/>
      <c r="B198" s="49"/>
      <c r="C198" s="58"/>
      <c r="G198" s="266"/>
      <c r="H198" s="266"/>
      <c r="I198" s="266"/>
      <c r="J198" s="266"/>
      <c r="K198" s="266"/>
      <c r="L198" s="266"/>
      <c r="M198" s="266"/>
      <c r="N198" s="266"/>
      <c r="O198" s="266"/>
      <c r="P198" s="266"/>
      <c r="Q198" s="266"/>
      <c r="R198" s="266"/>
    </row>
    <row r="199" spans="1:18">
      <c r="A199" s="296"/>
      <c r="B199" s="49"/>
      <c r="C199" s="58"/>
      <c r="G199" s="266"/>
      <c r="H199" s="266"/>
      <c r="I199" s="266"/>
      <c r="J199" s="266"/>
      <c r="K199" s="266"/>
      <c r="L199" s="266"/>
      <c r="M199" s="266"/>
      <c r="N199" s="266"/>
      <c r="O199" s="266"/>
      <c r="P199" s="266"/>
      <c r="Q199" s="266"/>
      <c r="R199" s="266"/>
    </row>
    <row r="200" spans="1:18" ht="13.5" thickBot="1">
      <c r="A200" s="296"/>
      <c r="B200" s="49"/>
      <c r="C200" s="309" t="s">
        <v>121</v>
      </c>
      <c r="G200" s="266"/>
      <c r="H200" s="266"/>
      <c r="I200" s="266"/>
      <c r="J200" s="266"/>
      <c r="K200" s="266"/>
      <c r="L200" s="266"/>
      <c r="M200" s="266"/>
      <c r="N200" s="266"/>
      <c r="O200" s="266"/>
      <c r="P200" s="266"/>
      <c r="Q200" s="266"/>
      <c r="R200" s="266"/>
    </row>
    <row r="201" spans="1:18">
      <c r="A201" s="149"/>
      <c r="B201" s="49" t="s">
        <v>483</v>
      </c>
      <c r="C201" s="306">
        <v>12</v>
      </c>
      <c r="G201" s="266"/>
      <c r="H201" s="266"/>
      <c r="I201" s="266"/>
      <c r="J201" s="266"/>
      <c r="K201" s="266"/>
      <c r="L201" s="266"/>
      <c r="M201" s="266"/>
      <c r="N201" s="266"/>
      <c r="O201" s="266"/>
      <c r="P201" s="266"/>
      <c r="Q201" s="266"/>
      <c r="R201" s="266"/>
    </row>
    <row r="202" spans="1:18">
      <c r="A202" s="149"/>
      <c r="B202" s="49" t="s">
        <v>484</v>
      </c>
      <c r="C202" s="307">
        <v>24</v>
      </c>
      <c r="G202" s="266"/>
      <c r="H202" s="266"/>
      <c r="I202" s="266"/>
      <c r="J202" s="266"/>
      <c r="K202" s="266"/>
      <c r="L202" s="266"/>
      <c r="M202" s="266"/>
      <c r="N202" s="266"/>
      <c r="O202" s="266"/>
      <c r="P202" s="266"/>
      <c r="Q202" s="266"/>
      <c r="R202" s="266"/>
    </row>
    <row r="203" spans="1:18" ht="15">
      <c r="A203" s="302"/>
      <c r="B203" s="49" t="s">
        <v>485</v>
      </c>
      <c r="C203" s="307">
        <v>10</v>
      </c>
      <c r="G203" s="266"/>
      <c r="H203" s="266"/>
      <c r="I203" s="266"/>
      <c r="J203" s="266"/>
      <c r="K203" s="266"/>
      <c r="L203" s="266"/>
      <c r="M203" s="266"/>
      <c r="N203" s="266"/>
      <c r="O203" s="266"/>
      <c r="P203" s="266"/>
      <c r="Q203" s="266"/>
      <c r="R203" s="266"/>
    </row>
    <row r="204" spans="1:18" ht="16.5" thickBot="1">
      <c r="A204" s="303"/>
      <c r="B204" s="49" t="s">
        <v>486</v>
      </c>
      <c r="C204" s="308">
        <v>20</v>
      </c>
      <c r="G204" s="266"/>
      <c r="H204" s="266"/>
      <c r="I204" s="266"/>
      <c r="J204" s="266"/>
      <c r="K204" s="266"/>
      <c r="L204" s="266"/>
      <c r="M204" s="266"/>
      <c r="N204" s="266"/>
      <c r="O204" s="266"/>
      <c r="P204" s="266"/>
      <c r="Q204" s="266"/>
      <c r="R204" s="266"/>
    </row>
    <row r="205" spans="1:18" ht="15">
      <c r="A205" s="304"/>
      <c r="B205" s="49"/>
      <c r="C205" s="309" t="s">
        <v>481</v>
      </c>
      <c r="G205" s="266"/>
      <c r="H205" s="266"/>
      <c r="I205" s="266"/>
      <c r="J205" s="266"/>
      <c r="K205" s="266"/>
      <c r="L205" s="266"/>
      <c r="M205" s="266"/>
      <c r="N205" s="266"/>
      <c r="O205" s="266"/>
      <c r="P205" s="266"/>
      <c r="Q205" s="266"/>
      <c r="R205" s="266"/>
    </row>
    <row r="206" spans="1:18" ht="15.75">
      <c r="A206" s="303"/>
      <c r="B206" s="54" t="s">
        <v>479</v>
      </c>
      <c r="C206" s="46" t="s">
        <v>480</v>
      </c>
      <c r="G206" s="266"/>
      <c r="H206" s="266"/>
      <c r="I206" s="266"/>
      <c r="J206" s="266"/>
      <c r="K206" s="266"/>
      <c r="L206" s="266"/>
      <c r="M206" s="266"/>
      <c r="N206" s="266"/>
      <c r="O206" s="266"/>
      <c r="P206" s="266"/>
      <c r="Q206" s="266"/>
      <c r="R206" s="266"/>
    </row>
    <row r="207" spans="1:18">
      <c r="A207" s="297"/>
      <c r="B207" s="54" t="s">
        <v>482</v>
      </c>
      <c r="C207" s="71">
        <f>(C201/C202)*(C203/C204)</f>
        <v>0.25</v>
      </c>
      <c r="G207" s="266"/>
      <c r="H207" s="266"/>
      <c r="I207" s="266"/>
      <c r="J207" s="266"/>
      <c r="K207" s="266"/>
      <c r="L207" s="266"/>
      <c r="M207" s="266"/>
      <c r="N207" s="266"/>
      <c r="O207" s="266"/>
      <c r="P207" s="266"/>
      <c r="Q207" s="266"/>
      <c r="R207" s="266"/>
    </row>
    <row r="208" spans="1:18" ht="13.5" thickBot="1">
      <c r="A208" s="297"/>
      <c r="B208" s="49"/>
      <c r="C208" s="309" t="s">
        <v>121</v>
      </c>
      <c r="G208" s="266"/>
      <c r="H208" s="266"/>
      <c r="I208" s="266"/>
      <c r="J208" s="266"/>
      <c r="K208" s="266"/>
      <c r="L208" s="266"/>
      <c r="M208" s="266"/>
      <c r="N208" s="266"/>
      <c r="O208" s="266"/>
      <c r="P208" s="266"/>
      <c r="Q208" s="266"/>
      <c r="R208" s="266"/>
    </row>
    <row r="209" spans="1:18" ht="13.5" thickBot="1">
      <c r="A209" s="297"/>
      <c r="B209" s="49" t="s">
        <v>489</v>
      </c>
      <c r="C209" s="345">
        <v>100</v>
      </c>
      <c r="D209" t="s">
        <v>446</v>
      </c>
      <c r="G209" s="266"/>
      <c r="H209" s="266"/>
      <c r="I209" s="266"/>
      <c r="J209" s="266"/>
      <c r="K209" s="266"/>
      <c r="L209" s="266"/>
      <c r="M209" s="266"/>
      <c r="N209" s="266"/>
      <c r="O209" s="266"/>
      <c r="P209" s="266"/>
      <c r="Q209" s="266"/>
      <c r="R209" s="266"/>
    </row>
    <row r="210" spans="1:18">
      <c r="A210" s="297"/>
      <c r="B210" s="49"/>
      <c r="C210" s="309" t="s">
        <v>481</v>
      </c>
      <c r="G210" s="266"/>
      <c r="H210" s="266"/>
      <c r="I210" s="266"/>
      <c r="J210" s="266"/>
      <c r="K210" s="266"/>
      <c r="L210" s="266"/>
      <c r="M210" s="266"/>
      <c r="N210" s="266"/>
      <c r="O210" s="266"/>
      <c r="P210" s="266"/>
      <c r="Q210" s="266"/>
      <c r="R210" s="266"/>
    </row>
    <row r="211" spans="1:18">
      <c r="A211" s="297"/>
      <c r="B211" s="54" t="s">
        <v>487</v>
      </c>
      <c r="C211" s="46" t="s">
        <v>504</v>
      </c>
      <c r="D211" s="25"/>
      <c r="G211" s="266"/>
      <c r="H211" s="266"/>
      <c r="I211" s="266"/>
      <c r="J211" s="266"/>
      <c r="K211" s="266"/>
      <c r="L211" s="266"/>
      <c r="M211" s="266"/>
      <c r="N211" s="266"/>
      <c r="O211" s="266"/>
      <c r="P211" s="266"/>
      <c r="Q211" s="266"/>
      <c r="R211" s="266"/>
    </row>
    <row r="212" spans="1:18">
      <c r="A212" s="297"/>
      <c r="B212" s="54" t="s">
        <v>488</v>
      </c>
      <c r="C212" s="46">
        <f>C209/C207</f>
        <v>400</v>
      </c>
      <c r="D212" s="25" t="s">
        <v>446</v>
      </c>
      <c r="G212" s="266"/>
      <c r="H212" s="266"/>
      <c r="I212" s="266"/>
      <c r="J212" s="266"/>
      <c r="K212" s="266"/>
      <c r="L212" s="266"/>
      <c r="M212" s="266"/>
      <c r="N212" s="266"/>
      <c r="O212" s="266"/>
      <c r="P212" s="266"/>
      <c r="Q212" s="266"/>
      <c r="R212" s="266"/>
    </row>
    <row r="213" spans="1:18">
      <c r="A213" s="297"/>
      <c r="B213"/>
      <c r="C213" s="58"/>
      <c r="G213" s="266"/>
      <c r="H213" s="266"/>
      <c r="I213" s="266"/>
      <c r="J213" s="266"/>
      <c r="K213" s="266"/>
      <c r="L213" s="266"/>
      <c r="M213" s="266"/>
      <c r="N213" s="266"/>
      <c r="O213" s="266"/>
      <c r="P213" s="266"/>
      <c r="Q213" s="266"/>
      <c r="R213" s="266"/>
    </row>
    <row r="214" spans="1:18">
      <c r="A214" s="297"/>
      <c r="B214" s="46" t="s">
        <v>491</v>
      </c>
      <c r="C214" s="58"/>
      <c r="G214" s="266"/>
      <c r="H214" s="266"/>
      <c r="I214" s="266"/>
      <c r="J214" s="266"/>
      <c r="K214" s="266"/>
      <c r="L214" s="266"/>
      <c r="M214" s="266"/>
      <c r="N214" s="266"/>
      <c r="O214" s="266"/>
      <c r="P214" s="266"/>
      <c r="Q214" s="266"/>
      <c r="R214" s="266"/>
    </row>
    <row r="215" spans="1:18">
      <c r="A215" s="297"/>
      <c r="B215" s="46" t="s">
        <v>490</v>
      </c>
      <c r="C215" s="58"/>
      <c r="G215" s="266"/>
      <c r="H215" s="266"/>
      <c r="I215" s="266"/>
      <c r="J215" s="266"/>
      <c r="K215" s="266"/>
      <c r="L215" s="266"/>
      <c r="M215" s="266"/>
      <c r="N215" s="266"/>
      <c r="O215" s="266"/>
      <c r="P215" s="266"/>
      <c r="Q215" s="266"/>
      <c r="R215" s="266"/>
    </row>
    <row r="216" spans="1:18">
      <c r="A216" s="297"/>
      <c r="B216"/>
      <c r="C216" s="58"/>
      <c r="G216" s="266"/>
      <c r="H216" s="266"/>
      <c r="I216" s="266"/>
      <c r="J216" s="266"/>
      <c r="K216" s="266"/>
      <c r="L216" s="266"/>
      <c r="M216" s="266"/>
      <c r="N216" s="266"/>
      <c r="O216" s="266"/>
      <c r="P216" s="266"/>
      <c r="Q216" s="266"/>
      <c r="R216" s="266"/>
    </row>
    <row r="217" spans="1:18" ht="15">
      <c r="A217" s="297"/>
      <c r="B217" s="127" t="s">
        <v>153</v>
      </c>
      <c r="C217" s="346"/>
      <c r="D217" s="130"/>
      <c r="E217" s="130"/>
      <c r="G217" s="266"/>
      <c r="H217" s="266"/>
      <c r="I217" s="266"/>
      <c r="J217" s="266"/>
      <c r="K217" s="266"/>
      <c r="L217" s="266"/>
      <c r="M217" s="266"/>
      <c r="N217" s="266"/>
      <c r="O217" s="266"/>
      <c r="P217" s="266"/>
      <c r="Q217" s="266"/>
      <c r="R217" s="266"/>
    </row>
    <row r="218" spans="1:18" ht="15.75">
      <c r="A218" s="297"/>
      <c r="B218" s="129" t="s">
        <v>154</v>
      </c>
      <c r="C218" s="346"/>
      <c r="D218" s="130"/>
      <c r="E218" s="130"/>
      <c r="F218" s="51"/>
      <c r="G218" s="266"/>
      <c r="H218" s="266"/>
      <c r="I218" s="266"/>
      <c r="J218" s="266"/>
      <c r="K218" s="266"/>
      <c r="L218" s="266"/>
      <c r="M218" s="266"/>
      <c r="N218" s="266"/>
      <c r="O218" s="266"/>
      <c r="P218" s="266"/>
      <c r="Q218" s="266"/>
      <c r="R218" s="266"/>
    </row>
    <row r="219" spans="1:18" ht="15">
      <c r="A219" s="297"/>
      <c r="B219" s="128" t="s">
        <v>155</v>
      </c>
      <c r="C219" s="346"/>
      <c r="D219" s="130"/>
      <c r="E219" s="130"/>
      <c r="G219" s="266"/>
      <c r="H219" s="266"/>
      <c r="I219" s="266"/>
      <c r="J219" s="266"/>
      <c r="K219" s="266"/>
      <c r="L219" s="266"/>
      <c r="M219" s="266"/>
      <c r="N219" s="266"/>
      <c r="O219" s="266"/>
      <c r="P219" s="266"/>
      <c r="Q219" s="266"/>
      <c r="R219" s="266"/>
    </row>
    <row r="220" spans="1:18" ht="15.75">
      <c r="A220" s="297"/>
      <c r="B220" s="129" t="s">
        <v>156</v>
      </c>
      <c r="C220" s="346"/>
      <c r="D220" s="130"/>
      <c r="E220" s="130"/>
      <c r="G220" s="266"/>
      <c r="H220" s="266"/>
      <c r="I220" s="266"/>
      <c r="J220" s="266"/>
      <c r="K220" s="266"/>
      <c r="L220" s="266"/>
      <c r="M220" s="266"/>
      <c r="N220" s="266"/>
      <c r="O220" s="266"/>
      <c r="P220" s="266"/>
      <c r="Q220" s="266"/>
      <c r="R220" s="266"/>
    </row>
    <row r="221" spans="1:18">
      <c r="A221" s="297"/>
      <c r="B221" s="49"/>
      <c r="C221" s="58"/>
      <c r="G221" s="266"/>
      <c r="H221" s="266"/>
      <c r="I221" s="266"/>
      <c r="J221" s="266"/>
      <c r="K221" s="266"/>
      <c r="L221" s="266"/>
      <c r="M221" s="266"/>
      <c r="N221" s="266"/>
      <c r="O221" s="266"/>
      <c r="P221" s="266"/>
      <c r="Q221" s="266"/>
      <c r="R221" s="266"/>
    </row>
    <row r="222" spans="1:18">
      <c r="A222" s="297"/>
      <c r="B222" s="49"/>
      <c r="C222" s="58"/>
      <c r="G222" s="266"/>
      <c r="H222" s="266"/>
      <c r="I222" s="266"/>
      <c r="J222" s="266"/>
      <c r="K222" s="266"/>
      <c r="L222" s="266"/>
      <c r="M222" s="266"/>
      <c r="N222" s="266"/>
      <c r="O222" s="266"/>
      <c r="P222" s="266"/>
      <c r="Q222" s="266"/>
      <c r="R222" s="266"/>
    </row>
    <row r="223" spans="1:18">
      <c r="A223" s="297"/>
      <c r="B223" s="49"/>
      <c r="C223" s="58"/>
      <c r="G223" s="266"/>
      <c r="H223" s="266"/>
      <c r="I223" s="266"/>
      <c r="J223" s="266"/>
      <c r="K223" s="266"/>
      <c r="L223" s="266"/>
      <c r="M223" s="266"/>
      <c r="N223" s="266"/>
      <c r="O223" s="266"/>
      <c r="P223" s="266"/>
      <c r="Q223" s="266"/>
      <c r="R223" s="266"/>
    </row>
    <row r="224" spans="1:18">
      <c r="A224" s="297"/>
      <c r="B224" s="49"/>
      <c r="C224" s="58"/>
      <c r="G224" s="266"/>
      <c r="H224" s="266"/>
      <c r="I224" s="266"/>
      <c r="J224" s="266"/>
      <c r="K224" s="266"/>
      <c r="L224" s="266"/>
      <c r="M224" s="266"/>
      <c r="N224" s="266"/>
      <c r="O224" s="266"/>
      <c r="P224" s="266"/>
      <c r="Q224" s="266"/>
      <c r="R224" s="266"/>
    </row>
    <row r="225" spans="1:18">
      <c r="A225" s="297"/>
      <c r="B225" s="49"/>
      <c r="C225" s="58"/>
      <c r="G225" s="266"/>
      <c r="H225" s="266"/>
      <c r="I225" s="266"/>
      <c r="J225" s="266"/>
      <c r="K225" s="266"/>
      <c r="L225" s="266"/>
      <c r="M225" s="266"/>
      <c r="N225" s="266"/>
      <c r="O225" s="266"/>
      <c r="P225" s="266"/>
      <c r="Q225" s="266"/>
      <c r="R225" s="266"/>
    </row>
    <row r="226" spans="1:18">
      <c r="A226" s="297"/>
      <c r="B226" s="49"/>
      <c r="C226" s="58"/>
      <c r="G226" s="266"/>
      <c r="H226" s="266"/>
      <c r="I226" s="266"/>
      <c r="J226" s="266"/>
      <c r="K226" s="266"/>
      <c r="L226" s="266"/>
      <c r="M226" s="266"/>
      <c r="N226" s="266"/>
      <c r="O226" s="266"/>
      <c r="P226" s="266"/>
      <c r="Q226" s="266"/>
      <c r="R226" s="266"/>
    </row>
    <row r="227" spans="1:18">
      <c r="A227" s="297"/>
      <c r="B227" s="49"/>
      <c r="C227" s="58"/>
      <c r="G227" s="266"/>
      <c r="H227" s="266"/>
      <c r="I227" s="266"/>
      <c r="J227" s="266"/>
      <c r="K227" s="266"/>
      <c r="L227" s="266"/>
      <c r="M227" s="266"/>
      <c r="N227" s="266"/>
      <c r="O227" s="266"/>
      <c r="P227" s="266"/>
      <c r="Q227" s="266"/>
      <c r="R227" s="266"/>
    </row>
    <row r="228" spans="1:18">
      <c r="A228" s="297"/>
      <c r="B228"/>
      <c r="C228" s="58"/>
      <c r="G228" s="266"/>
      <c r="H228" s="266"/>
      <c r="I228" s="266"/>
      <c r="J228" s="266"/>
      <c r="K228" s="266"/>
      <c r="L228" s="266"/>
      <c r="M228" s="266"/>
      <c r="N228" s="266"/>
      <c r="O228" s="266"/>
      <c r="P228" s="266"/>
      <c r="Q228" s="266"/>
      <c r="R228" s="266"/>
    </row>
    <row r="229" spans="1:18">
      <c r="A229" s="297"/>
      <c r="B229"/>
      <c r="C229" s="58"/>
      <c r="G229" s="266"/>
      <c r="H229" s="266"/>
      <c r="I229" s="266"/>
      <c r="J229" s="266"/>
      <c r="K229" s="266"/>
      <c r="L229" s="266"/>
      <c r="M229" s="266"/>
      <c r="N229" s="266"/>
      <c r="O229" s="266"/>
      <c r="P229" s="266"/>
      <c r="Q229" s="266"/>
      <c r="R229" s="266"/>
    </row>
    <row r="230" spans="1:18">
      <c r="A230" s="297"/>
      <c r="B230"/>
      <c r="C230" s="58"/>
      <c r="G230" s="266"/>
      <c r="H230" s="266"/>
      <c r="I230" s="266"/>
      <c r="J230" s="266"/>
      <c r="K230" s="266"/>
      <c r="L230" s="266"/>
      <c r="M230" s="266"/>
      <c r="N230" s="266"/>
      <c r="O230" s="266"/>
      <c r="P230" s="266"/>
      <c r="Q230" s="266"/>
      <c r="R230" s="266"/>
    </row>
    <row r="231" spans="1:18">
      <c r="A231" s="297"/>
      <c r="B231"/>
      <c r="C231" s="58"/>
      <c r="G231" s="266"/>
      <c r="H231" s="266"/>
      <c r="I231" s="266"/>
      <c r="J231" s="266"/>
      <c r="K231" s="266"/>
      <c r="L231" s="266"/>
      <c r="M231" s="266"/>
      <c r="N231" s="266"/>
      <c r="O231" s="266"/>
      <c r="P231" s="266"/>
      <c r="Q231" s="266"/>
      <c r="R231" s="266"/>
    </row>
    <row r="232" spans="1:18">
      <c r="A232" s="297"/>
      <c r="B232"/>
      <c r="C232" s="58"/>
    </row>
    <row r="233" spans="1:18">
      <c r="A233" s="297"/>
      <c r="B233"/>
      <c r="C233" s="58"/>
    </row>
    <row r="234" spans="1:18">
      <c r="B234"/>
      <c r="C234" s="58"/>
    </row>
    <row r="235" spans="1:18">
      <c r="B235"/>
      <c r="C235" s="58"/>
    </row>
    <row r="236" spans="1:18">
      <c r="B236"/>
      <c r="C236" s="58"/>
    </row>
    <row r="237" spans="1:18">
      <c r="B237"/>
      <c r="C237" s="58"/>
    </row>
    <row r="238" spans="1:18">
      <c r="B238"/>
      <c r="C238" s="58"/>
    </row>
    <row r="239" spans="1:18">
      <c r="B239"/>
      <c r="C239" s="58"/>
    </row>
    <row r="240" spans="1:18">
      <c r="B240"/>
      <c r="C240" s="58"/>
    </row>
    <row r="258" spans="5:5">
      <c r="E258" s="51" t="s">
        <v>109</v>
      </c>
    </row>
  </sheetData>
  <sheetProtection formatCells="0" selectLockedCells="1"/>
  <phoneticPr fontId="3" type="noConversion"/>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dimension ref="A1:H204"/>
  <sheetViews>
    <sheetView topLeftCell="B18" workbookViewId="0">
      <selection activeCell="I48" sqref="I48"/>
    </sheetView>
  </sheetViews>
  <sheetFormatPr defaultRowHeight="12.75"/>
  <cols>
    <col min="1" max="1" width="33.85546875" customWidth="1"/>
    <col min="2" max="2" width="22.7109375" customWidth="1"/>
    <col min="7" max="7" width="30.5703125" style="49" customWidth="1"/>
    <col min="8" max="8" width="16" style="60" customWidth="1"/>
  </cols>
  <sheetData>
    <row r="1" spans="1:4">
      <c r="A1" s="46"/>
    </row>
    <row r="2" spans="1:4">
      <c r="A2" s="46"/>
      <c r="B2" s="47"/>
      <c r="D2" s="48"/>
    </row>
    <row r="3" spans="1:4">
      <c r="A3" s="46"/>
      <c r="B3" s="47"/>
    </row>
    <row r="4" spans="1:4">
      <c r="A4" s="59"/>
      <c r="B4" s="47"/>
    </row>
    <row r="5" spans="1:4">
      <c r="A5" s="49"/>
      <c r="B5" s="47"/>
    </row>
    <row r="6" spans="1:4">
      <c r="A6" s="49"/>
      <c r="B6" s="47"/>
    </row>
    <row r="7" spans="1:4">
      <c r="A7" s="49"/>
      <c r="B7" s="47"/>
    </row>
    <row r="8" spans="1:4">
      <c r="A8" s="49"/>
      <c r="B8" s="47"/>
    </row>
    <row r="9" spans="1:4">
      <c r="A9" s="49"/>
      <c r="B9" s="47"/>
    </row>
    <row r="10" spans="1:4">
      <c r="A10" s="49"/>
      <c r="B10" s="47"/>
    </row>
    <row r="11" spans="1:4">
      <c r="A11" s="49"/>
      <c r="B11" s="47"/>
    </row>
    <row r="12" spans="1:4">
      <c r="A12" s="49"/>
      <c r="B12" s="47"/>
    </row>
    <row r="13" spans="1:4">
      <c r="A13" s="49"/>
      <c r="B13" s="47"/>
    </row>
    <row r="14" spans="1:4">
      <c r="A14" s="49"/>
      <c r="B14" s="47"/>
    </row>
    <row r="15" spans="1:4">
      <c r="A15" s="49"/>
      <c r="B15" s="47"/>
    </row>
    <row r="16" spans="1:4">
      <c r="A16" s="49"/>
      <c r="B16" s="47"/>
    </row>
    <row r="17" spans="1:2">
      <c r="A17" s="49"/>
      <c r="B17" s="47"/>
    </row>
    <row r="24" spans="1:2">
      <c r="A24" s="46"/>
      <c r="B24" s="51"/>
    </row>
    <row r="25" spans="1:2">
      <c r="A25" s="49"/>
      <c r="B25" s="74"/>
    </row>
    <row r="26" spans="1:2">
      <c r="A26" s="49"/>
      <c r="B26" s="74"/>
    </row>
    <row r="27" spans="1:2">
      <c r="A27" s="49"/>
      <c r="B27" s="74"/>
    </row>
    <row r="28" spans="1:2">
      <c r="A28" s="49"/>
      <c r="B28" s="74"/>
    </row>
    <row r="29" spans="1:2">
      <c r="B29" s="75"/>
    </row>
    <row r="30" spans="1:2">
      <c r="B30" s="76"/>
    </row>
    <row r="31" spans="1:2">
      <c r="B31" s="76"/>
    </row>
    <row r="32" spans="1:2">
      <c r="B32" s="76"/>
    </row>
    <row r="33" spans="1:2">
      <c r="B33" s="76"/>
    </row>
    <row r="34" spans="1:2">
      <c r="B34" s="76"/>
    </row>
    <row r="35" spans="1:2">
      <c r="B35" s="76"/>
    </row>
    <row r="36" spans="1:2">
      <c r="B36" s="76"/>
    </row>
    <row r="37" spans="1:2">
      <c r="B37" s="76"/>
    </row>
    <row r="38" spans="1:2">
      <c r="B38" s="76"/>
    </row>
    <row r="39" spans="1:2">
      <c r="B39" s="76"/>
    </row>
    <row r="40" spans="1:2">
      <c r="B40" s="76"/>
    </row>
    <row r="41" spans="1:2">
      <c r="B41" s="76"/>
    </row>
    <row r="42" spans="1:2">
      <c r="B42" s="76"/>
    </row>
    <row r="43" spans="1:2">
      <c r="A43" s="46"/>
      <c r="B43" s="77"/>
    </row>
    <row r="44" spans="1:2">
      <c r="A44" s="49"/>
      <c r="B44" s="78"/>
    </row>
    <row r="45" spans="1:2">
      <c r="A45" s="49"/>
      <c r="B45" s="78"/>
    </row>
    <row r="46" spans="1:2">
      <c r="A46" s="49"/>
      <c r="B46" s="78"/>
    </row>
    <row r="47" spans="1:2">
      <c r="A47" s="49"/>
      <c r="B47" s="78"/>
    </row>
    <row r="48" spans="1:2">
      <c r="A48" s="49"/>
      <c r="B48" s="78"/>
    </row>
    <row r="49" spans="1:5">
      <c r="A49" s="49"/>
      <c r="B49" s="78"/>
    </row>
    <row r="50" spans="1:5">
      <c r="A50" s="49"/>
      <c r="B50" s="74"/>
    </row>
    <row r="51" spans="1:5">
      <c r="A51" s="49"/>
      <c r="B51" s="74"/>
      <c r="E51" s="51"/>
    </row>
    <row r="52" spans="1:5">
      <c r="B52" s="76"/>
    </row>
    <row r="53" spans="1:5">
      <c r="B53" s="47"/>
    </row>
    <row r="54" spans="1:5">
      <c r="A54" s="46"/>
      <c r="B54" s="47"/>
    </row>
    <row r="55" spans="1:5">
      <c r="A55" s="49"/>
      <c r="B55" s="60"/>
    </row>
    <row r="56" spans="1:5">
      <c r="A56" s="49"/>
      <c r="B56" s="58"/>
    </row>
    <row r="57" spans="1:5">
      <c r="A57" s="49"/>
      <c r="B57" s="58"/>
    </row>
    <row r="58" spans="1:5">
      <c r="A58" s="49"/>
      <c r="B58" s="58"/>
    </row>
    <row r="59" spans="1:5">
      <c r="A59" s="49"/>
      <c r="B59" s="58"/>
    </row>
    <row r="60" spans="1:5">
      <c r="A60" s="49"/>
      <c r="B60" s="58"/>
    </row>
    <row r="62" spans="1:5">
      <c r="A62" s="46"/>
    </row>
    <row r="63" spans="1:5">
      <c r="A63" s="49"/>
    </row>
    <row r="64" spans="1:5">
      <c r="A64" s="49"/>
      <c r="B64" s="52"/>
    </row>
    <row r="65" spans="1:2">
      <c r="A65" s="49"/>
      <c r="B65" s="67"/>
    </row>
    <row r="66" spans="1:2">
      <c r="A66" s="49"/>
      <c r="B66" s="52"/>
    </row>
    <row r="67" spans="1:2">
      <c r="A67" s="49"/>
      <c r="B67" s="52"/>
    </row>
    <row r="69" spans="1:2">
      <c r="A69" s="49"/>
      <c r="B69" s="52"/>
    </row>
    <row r="70" spans="1:2">
      <c r="A70" s="49"/>
      <c r="B70" s="52"/>
    </row>
    <row r="71" spans="1:2">
      <c r="B71" s="66"/>
    </row>
    <row r="72" spans="1:2">
      <c r="A72" s="49"/>
      <c r="B72" s="52"/>
    </row>
    <row r="73" spans="1:2">
      <c r="B73" s="66"/>
    </row>
    <row r="74" spans="1:2">
      <c r="B74" s="58"/>
    </row>
    <row r="75" spans="1:2">
      <c r="A75" s="49"/>
      <c r="B75" s="52"/>
    </row>
    <row r="76" spans="1:2">
      <c r="A76" s="49"/>
      <c r="B76" s="66"/>
    </row>
    <row r="77" spans="1:2">
      <c r="B77" s="58"/>
    </row>
    <row r="78" spans="1:2">
      <c r="A78" s="49"/>
      <c r="B78" s="52"/>
    </row>
    <row r="79" spans="1:2">
      <c r="A79" s="49"/>
      <c r="B79" s="66"/>
    </row>
    <row r="80" spans="1:2">
      <c r="B80" s="58"/>
    </row>
    <row r="81" spans="1:2">
      <c r="B81" s="58"/>
    </row>
    <row r="82" spans="1:2">
      <c r="B82" s="58"/>
    </row>
    <row r="83" spans="1:2">
      <c r="A83" s="46"/>
      <c r="B83" s="52"/>
    </row>
    <row r="84" spans="1:2">
      <c r="A84" s="49"/>
      <c r="B84" s="52"/>
    </row>
    <row r="85" spans="1:2">
      <c r="A85" s="49"/>
      <c r="B85" s="52"/>
    </row>
    <row r="86" spans="1:2">
      <c r="A86" s="49"/>
      <c r="B86" s="52"/>
    </row>
    <row r="87" spans="1:2">
      <c r="A87" s="49"/>
      <c r="B87" s="79"/>
    </row>
    <row r="88" spans="1:2">
      <c r="A88" s="49"/>
      <c r="B88" s="80"/>
    </row>
    <row r="89" spans="1:2">
      <c r="A89" s="49"/>
      <c r="B89" s="81"/>
    </row>
    <row r="90" spans="1:2">
      <c r="A90" s="49"/>
      <c r="B90" s="78"/>
    </row>
    <row r="91" spans="1:2">
      <c r="A91" s="49"/>
      <c r="B91" s="47"/>
    </row>
    <row r="92" spans="1:2">
      <c r="A92" s="46"/>
      <c r="B92" s="47"/>
    </row>
    <row r="93" spans="1:2">
      <c r="A93" s="54"/>
      <c r="B93" s="47"/>
    </row>
    <row r="94" spans="1:2">
      <c r="A94" s="49"/>
      <c r="B94" s="52"/>
    </row>
    <row r="95" spans="1:2">
      <c r="A95" s="49"/>
      <c r="B95" s="66"/>
    </row>
    <row r="96" spans="1:2">
      <c r="A96" s="49"/>
      <c r="B96" s="52"/>
    </row>
    <row r="97" spans="1:5">
      <c r="A97" s="49"/>
      <c r="B97" s="52"/>
    </row>
    <row r="98" spans="1:5">
      <c r="A98" s="49"/>
      <c r="B98" s="65"/>
    </row>
    <row r="99" spans="1:5">
      <c r="A99" s="49"/>
      <c r="B99" s="52"/>
    </row>
    <row r="100" spans="1:5">
      <c r="A100" s="54"/>
      <c r="B100" s="64"/>
    </row>
    <row r="102" spans="1:5">
      <c r="E102" s="51"/>
    </row>
    <row r="103" spans="1:5">
      <c r="A103" s="46"/>
      <c r="B103" s="47"/>
    </row>
    <row r="104" spans="1:5">
      <c r="A104" s="49"/>
      <c r="B104" s="52"/>
    </row>
    <row r="105" spans="1:5">
      <c r="A105" s="69"/>
      <c r="B105" s="70"/>
      <c r="C105" s="41"/>
    </row>
    <row r="107" spans="1:5">
      <c r="A107" s="49"/>
      <c r="B107" s="52"/>
    </row>
    <row r="108" spans="1:5">
      <c r="A108" s="49"/>
      <c r="B108" s="70"/>
      <c r="C108" s="41"/>
    </row>
    <row r="110" spans="1:5" ht="15">
      <c r="A110" s="68"/>
      <c r="B110" s="41"/>
      <c r="C110" s="41"/>
      <c r="D110" s="27"/>
      <c r="E110" s="28"/>
    </row>
    <row r="111" spans="1:5" ht="15">
      <c r="A111" s="68"/>
      <c r="B111" s="41"/>
      <c r="C111" s="41"/>
      <c r="D111" s="27"/>
      <c r="E111" s="28"/>
    </row>
    <row r="112" spans="1:5" ht="15">
      <c r="A112" s="41"/>
      <c r="B112" s="41"/>
      <c r="C112" s="41"/>
      <c r="D112" s="27"/>
      <c r="E112" s="28"/>
    </row>
    <row r="113" spans="1:6" ht="15">
      <c r="A113" s="54"/>
      <c r="B113" s="25"/>
      <c r="C113" s="41"/>
      <c r="D113" s="27"/>
      <c r="E113" s="28"/>
    </row>
    <row r="114" spans="1:6">
      <c r="A114" s="69"/>
      <c r="B114" s="41"/>
      <c r="C114" s="41"/>
      <c r="F114" s="51"/>
    </row>
    <row r="115" spans="1:6">
      <c r="A115" s="54"/>
      <c r="B115" s="63"/>
      <c r="C115" s="25"/>
    </row>
    <row r="117" spans="1:6">
      <c r="A117" s="69"/>
      <c r="B117" s="41"/>
    </row>
    <row r="118" spans="1:6">
      <c r="A118" s="54"/>
      <c r="B118" s="63"/>
      <c r="C118" s="25"/>
    </row>
    <row r="120" spans="1:6">
      <c r="A120" s="41"/>
    </row>
    <row r="121" spans="1:6">
      <c r="A121" s="41"/>
    </row>
    <row r="123" spans="1:6">
      <c r="A123" s="46"/>
      <c r="B123" s="47"/>
    </row>
    <row r="124" spans="1:6">
      <c r="A124" s="49"/>
      <c r="B124" s="47"/>
    </row>
    <row r="125" spans="1:6">
      <c r="A125" s="54"/>
      <c r="B125" s="55"/>
      <c r="C125" s="25"/>
    </row>
    <row r="126" spans="1:6">
      <c r="A126" s="49"/>
      <c r="B126" s="47"/>
    </row>
    <row r="127" spans="1:6">
      <c r="A127" s="49"/>
      <c r="B127" s="52"/>
    </row>
    <row r="128" spans="1:6">
      <c r="A128" s="49"/>
      <c r="B128" s="47"/>
      <c r="D128" s="49"/>
      <c r="E128" s="47"/>
    </row>
    <row r="129" spans="1:5">
      <c r="A129" s="49"/>
      <c r="B129" s="47"/>
      <c r="D129" s="49"/>
      <c r="E129" s="47"/>
    </row>
    <row r="130" spans="1:5">
      <c r="A130" s="49"/>
      <c r="B130" s="47"/>
    </row>
    <row r="131" spans="1:5">
      <c r="A131" s="49"/>
      <c r="B131" s="53"/>
    </row>
    <row r="132" spans="1:5">
      <c r="A132" s="49"/>
      <c r="B132" s="52"/>
    </row>
    <row r="133" spans="1:5">
      <c r="A133" s="49"/>
      <c r="B133" s="53"/>
    </row>
    <row r="134" spans="1:5">
      <c r="A134" s="49"/>
      <c r="B134" s="47"/>
    </row>
    <row r="135" spans="1:5">
      <c r="A135" s="49"/>
      <c r="B135" s="47"/>
    </row>
    <row r="136" spans="1:5">
      <c r="A136" s="49"/>
      <c r="B136" s="47"/>
    </row>
    <row r="137" spans="1:5">
      <c r="A137" s="49"/>
      <c r="B137" s="47"/>
    </row>
    <row r="138" spans="1:5">
      <c r="A138" s="49"/>
      <c r="B138" s="47"/>
    </row>
    <row r="139" spans="1:5">
      <c r="A139" s="49"/>
      <c r="B139" s="53"/>
      <c r="D139" s="49"/>
    </row>
    <row r="140" spans="1:5">
      <c r="A140" s="49"/>
      <c r="B140" s="47"/>
      <c r="D140" s="49"/>
    </row>
    <row r="141" spans="1:5">
      <c r="A141" s="49"/>
      <c r="B141" s="53"/>
    </row>
    <row r="142" spans="1:5">
      <c r="A142" s="49"/>
      <c r="B142" s="47"/>
    </row>
    <row r="143" spans="1:5">
      <c r="A143" s="49"/>
      <c r="B143" s="47"/>
    </row>
    <row r="144" spans="1:5">
      <c r="A144" s="49"/>
      <c r="B144" s="47"/>
    </row>
    <row r="145" spans="1:5">
      <c r="A145" s="49"/>
      <c r="B145" s="53"/>
    </row>
    <row r="146" spans="1:5">
      <c r="A146" s="49"/>
      <c r="B146" s="47"/>
    </row>
    <row r="147" spans="1:5">
      <c r="A147" s="46"/>
      <c r="B147" s="47"/>
    </row>
    <row r="148" spans="1:5">
      <c r="A148" s="49"/>
      <c r="B148" s="52"/>
    </row>
    <row r="149" spans="1:5">
      <c r="A149" s="54"/>
      <c r="B149" s="55"/>
      <c r="C149" s="25"/>
    </row>
    <row r="150" spans="1:5">
      <c r="A150" s="49"/>
      <c r="B150" s="47"/>
    </row>
    <row r="151" spans="1:5">
      <c r="A151" s="49"/>
      <c r="B151" s="50"/>
      <c r="C151" s="41"/>
    </row>
    <row r="153" spans="1:5">
      <c r="E153" s="51"/>
    </row>
    <row r="154" spans="1:5">
      <c r="A154" s="46"/>
      <c r="B154" s="47"/>
    </row>
    <row r="155" spans="1:5">
      <c r="A155" s="58"/>
    </row>
    <row r="156" spans="1:5">
      <c r="A156" s="58"/>
    </row>
    <row r="157" spans="1:5">
      <c r="A157" s="58"/>
    </row>
    <row r="180" spans="1:3">
      <c r="A180" s="54"/>
      <c r="B180" s="64"/>
      <c r="C180" s="25"/>
    </row>
    <row r="181" spans="1:3">
      <c r="A181" s="54"/>
      <c r="B181" s="56"/>
    </row>
    <row r="184" spans="1:3">
      <c r="A184" s="46"/>
    </row>
    <row r="186" spans="1:3">
      <c r="A186" s="49"/>
      <c r="B186" s="47"/>
    </row>
    <row r="187" spans="1:3">
      <c r="A187" s="49"/>
      <c r="B187" s="47"/>
    </row>
    <row r="188" spans="1:3">
      <c r="A188" s="49"/>
      <c r="B188" s="52"/>
    </row>
    <row r="189" spans="1:3">
      <c r="A189" s="54"/>
      <c r="B189" s="71"/>
      <c r="C189" s="25"/>
    </row>
    <row r="190" spans="1:3">
      <c r="B190" s="72"/>
    </row>
    <row r="204" spans="5:5">
      <c r="E204" s="51"/>
    </row>
  </sheetData>
  <phoneticPr fontId="3" type="noConversion"/>
  <pageMargins left="0.75" right="0.75" top="1" bottom="1" header="0.5" footer="0.5"/>
  <pageSetup orientation="portrait" horizont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Definitions</vt:lpstr>
      <vt:lpstr>S-N Curve</vt:lpstr>
      <vt:lpstr>Notches</vt:lpstr>
      <vt:lpstr>Cantilever-1</vt:lpstr>
      <vt:lpstr>Cantilever-2</vt:lpstr>
      <vt:lpstr>Shafts</vt:lpstr>
      <vt:lpstr>Blank</vt:lpstr>
    </vt:vector>
  </TitlesOfParts>
  <Company>THINC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Andrew</dc:creator>
  <cp:lastModifiedBy> </cp:lastModifiedBy>
  <cp:lastPrinted>2008-07-26T16:40:04Z</cp:lastPrinted>
  <dcterms:created xsi:type="dcterms:W3CDTF">2006-11-24T16:30:41Z</dcterms:created>
  <dcterms:modified xsi:type="dcterms:W3CDTF">2023-12-30T19:33:52Z</dcterms:modified>
</cp:coreProperties>
</file>