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C:\Users\jrand\OneDrive\Documents\ENGINEER PDH ONLINE\Bolted Connections Engineering\"/>
    </mc:Choice>
  </mc:AlternateContent>
  <xr:revisionPtr revIDLastSave="0" documentId="13_ncr:1_{A71C62A9-799C-445E-A86E-F697BFD3D934}" xr6:coauthVersionLast="47" xr6:coauthVersionMax="47" xr10:uidLastSave="{00000000-0000-0000-0000-000000000000}"/>
  <bookViews>
    <workbookView xWindow="-120" yWindow="-120" windowWidth="24240" windowHeight="13020" xr2:uid="{00000000-000D-0000-FFFF-FFFF00000000}"/>
  </bookViews>
  <sheets>
    <sheet name="BOLT TENSION" sheetId="4" r:id="rId1"/>
    <sheet name="BOLT SHEAR" sheetId="1" r:id="rId2"/>
    <sheet name="F.E.A." sheetId="5" r:id="rId3"/>
    <sheet name="MATH TOOLS" sheetId="2" r:id="rId4"/>
  </sheets>
  <definedNames>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opt" localSheetId="1" hidden="1">'BOLT SHEAR'!$D$373</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s>
  <calcPr calcId="191029"/>
</workbook>
</file>

<file path=xl/calcChain.xml><?xml version="1.0" encoding="utf-8"?>
<calcChain xmlns="http://schemas.openxmlformats.org/spreadsheetml/2006/main">
  <c r="D304" i="4" l="1"/>
  <c r="D293" i="4"/>
  <c r="D307" i="4"/>
  <c r="J288" i="4"/>
  <c r="J287" i="4"/>
  <c r="J286" i="4"/>
  <c r="J285" i="4"/>
  <c r="J284" i="4"/>
  <c r="J283" i="4"/>
  <c r="J282" i="4"/>
  <c r="D230" i="4"/>
  <c r="J216" i="4"/>
  <c r="J215" i="4"/>
  <c r="J214" i="4"/>
  <c r="J213" i="4"/>
  <c r="J212" i="4"/>
  <c r="J211" i="4"/>
  <c r="J210" i="4"/>
  <c r="I128" i="4"/>
  <c r="I129" i="4"/>
  <c r="I130" i="4"/>
  <c r="I131" i="4"/>
  <c r="I132" i="4"/>
  <c r="I133" i="4"/>
  <c r="I134" i="4"/>
  <c r="K367" i="1"/>
  <c r="K364" i="1"/>
  <c r="K362" i="1"/>
  <c r="K360" i="1"/>
  <c r="K366" i="1" s="1"/>
  <c r="K369" i="1" s="1"/>
  <c r="D592" i="1"/>
  <c r="C556" i="1"/>
  <c r="C555" i="1"/>
  <c r="C554" i="1"/>
  <c r="C550" i="1"/>
  <c r="C549" i="1"/>
  <c r="C548" i="1"/>
  <c r="D560" i="1"/>
  <c r="F532" i="1"/>
  <c r="G532" i="1"/>
  <c r="F533" i="1"/>
  <c r="G533" i="1" s="1"/>
  <c r="F534" i="1"/>
  <c r="G534" i="1" s="1"/>
  <c r="F535" i="1"/>
  <c r="G535" i="1" s="1"/>
  <c r="F536" i="1"/>
  <c r="G536" i="1" s="1"/>
  <c r="F537" i="1"/>
  <c r="G537" i="1"/>
  <c r="F538" i="1"/>
  <c r="F539" i="1"/>
  <c r="G539" i="1" s="1"/>
  <c r="G538" i="1"/>
  <c r="D526" i="1"/>
  <c r="B539" i="1"/>
  <c r="C539" i="1" s="1"/>
  <c r="B532" i="1"/>
  <c r="C532" i="1" s="1"/>
  <c r="B533" i="1"/>
  <c r="B534" i="1"/>
  <c r="C534" i="1"/>
  <c r="B535" i="1"/>
  <c r="C535" i="1" s="1"/>
  <c r="B536" i="1"/>
  <c r="C536" i="1" s="1"/>
  <c r="B537" i="1"/>
  <c r="B538" i="1"/>
  <c r="C538" i="1"/>
  <c r="B531" i="1"/>
  <c r="C531" i="1"/>
  <c r="L143" i="4"/>
  <c r="L141" i="4"/>
  <c r="L153" i="4" s="1"/>
  <c r="L139" i="4"/>
  <c r="L137" i="4"/>
  <c r="L145" i="4"/>
  <c r="D465" i="1"/>
  <c r="D302" i="4"/>
  <c r="D137" i="4"/>
  <c r="D141" i="4" s="1"/>
  <c r="D291" i="4"/>
  <c r="D148" i="4"/>
  <c r="D150" i="4" s="1"/>
  <c r="D152" i="4" s="1"/>
  <c r="D234" i="4"/>
  <c r="D236" i="4" s="1"/>
  <c r="D228" i="4"/>
  <c r="D144" i="2"/>
  <c r="D110" i="2"/>
  <c r="D122" i="2" s="1"/>
  <c r="D142" i="2" s="1"/>
  <c r="D116" i="2"/>
  <c r="D134" i="2"/>
  <c r="D114" i="2"/>
  <c r="D132" i="2"/>
  <c r="D112" i="2"/>
  <c r="D130" i="2" s="1"/>
  <c r="D108" i="2"/>
  <c r="D128" i="2" s="1"/>
  <c r="D126" i="2"/>
  <c r="D124" i="2"/>
  <c r="D119" i="2"/>
  <c r="C28" i="2"/>
  <c r="C26" i="2"/>
  <c r="D442" i="1"/>
  <c r="D448" i="1" s="1"/>
  <c r="D430" i="1"/>
  <c r="D428" i="1"/>
  <c r="D446" i="1"/>
  <c r="D387" i="1"/>
  <c r="D393" i="1"/>
  <c r="D373" i="1"/>
  <c r="D391" i="1"/>
  <c r="D375" i="1"/>
  <c r="D389" i="1" s="1"/>
  <c r="D409" i="1" s="1"/>
  <c r="D127" i="1"/>
  <c r="D133" i="1" s="1"/>
  <c r="D125" i="1"/>
  <c r="D123" i="1"/>
  <c r="D119" i="1"/>
  <c r="D121" i="1" s="1"/>
  <c r="D117" i="1"/>
  <c r="D184" i="1"/>
  <c r="D190" i="1" s="1"/>
  <c r="D182" i="1"/>
  <c r="D180" i="1"/>
  <c r="D174" i="1"/>
  <c r="D170" i="1"/>
  <c r="D178" i="1"/>
  <c r="D176" i="1"/>
  <c r="D168" i="1"/>
  <c r="D436" i="1"/>
  <c r="D454" i="1" s="1"/>
  <c r="D434" i="1"/>
  <c r="D452" i="1"/>
  <c r="D432" i="1"/>
  <c r="D450" i="1"/>
  <c r="C533" i="1"/>
  <c r="C537" i="1"/>
  <c r="D384" i="1"/>
  <c r="D411" i="1"/>
  <c r="D381" i="1"/>
  <c r="D399" i="1" s="1"/>
  <c r="D379" i="1"/>
  <c r="D397" i="1" s="1"/>
  <c r="D377" i="1"/>
  <c r="D395" i="1" s="1"/>
  <c r="D439" i="1"/>
  <c r="D192" i="1"/>
  <c r="D135" i="1"/>
  <c r="L147" i="4"/>
  <c r="F531" i="1"/>
  <c r="G531" i="1" s="1"/>
  <c r="D172" i="1"/>
  <c r="D139" i="4" l="1"/>
  <c r="D143" i="4" s="1"/>
  <c r="D144" i="4" s="1"/>
  <c r="D146" i="4" s="1"/>
  <c r="D154" i="4" s="1"/>
  <c r="D232" i="4"/>
  <c r="D238" i="4" s="1"/>
  <c r="D240" i="4" s="1"/>
  <c r="L149" i="4"/>
  <c r="D295" i="4"/>
  <c r="D297" i="4" s="1"/>
  <c r="D298" i="4" s="1"/>
  <c r="D300" i="4" s="1"/>
  <c r="D444" i="1"/>
  <c r="D463" i="1" s="1"/>
  <c r="G540" i="1"/>
  <c r="L151" i="4"/>
  <c r="A145" i="4"/>
  <c r="K377" i="1"/>
  <c r="K373" i="1"/>
  <c r="K375" i="1"/>
  <c r="D156" i="4" l="1"/>
  <c r="D158" i="4" s="1"/>
  <c r="D309" i="4"/>
  <c r="D311" i="4" s="1"/>
  <c r="D316" i="4"/>
  <c r="D318" i="4" s="1"/>
  <c r="D320" i="4" s="1"/>
  <c r="L156" i="4"/>
  <c r="L160" i="4" s="1"/>
  <c r="L158" i="4"/>
  <c r="D528" i="1"/>
  <c r="E542" i="1"/>
  <c r="D313" i="4" l="1"/>
  <c r="B551" i="1"/>
  <c r="D551" i="1" s="1"/>
  <c r="E551" i="1" s="1"/>
  <c r="B553" i="1"/>
  <c r="D553" i="1" s="1"/>
  <c r="E553" i="1" s="1"/>
  <c r="B552" i="1"/>
  <c r="D552" i="1" s="1"/>
  <c r="E552" i="1" s="1"/>
  <c r="B548" i="1"/>
  <c r="D548" i="1" s="1"/>
  <c r="E548" i="1" s="1"/>
  <c r="D595" i="1"/>
  <c r="B555" i="1"/>
  <c r="D555" i="1" s="1"/>
  <c r="E555" i="1" s="1"/>
  <c r="B549" i="1"/>
  <c r="D549" i="1" s="1"/>
  <c r="E549" i="1" s="1"/>
  <c r="B554" i="1"/>
  <c r="D554" i="1" s="1"/>
  <c r="E554" i="1" s="1"/>
  <c r="B556" i="1"/>
  <c r="D556" i="1" s="1"/>
  <c r="E556" i="1" s="1"/>
  <c r="B550" i="1"/>
  <c r="D550" i="1" s="1"/>
  <c r="E550" i="1" s="1"/>
  <c r="D597" i="1" l="1"/>
  <c r="D599" i="1" s="1"/>
  <c r="D602" i="1" s="1"/>
  <c r="D604" i="1" s="1"/>
  <c r="D593" i="1"/>
</calcChain>
</file>

<file path=xl/sharedStrings.xml><?xml version="1.0" encoding="utf-8"?>
<sst xmlns="http://schemas.openxmlformats.org/spreadsheetml/2006/main" count="950" uniqueCount="354">
  <si>
    <t>Input</t>
  </si>
  <si>
    <t>Joint width, W =</t>
  </si>
  <si>
    <t>Trailing edge dimension, X =</t>
  </si>
  <si>
    <t>kips</t>
  </si>
  <si>
    <t>in</t>
  </si>
  <si>
    <t>Calculations</t>
  </si>
  <si>
    <t>=</t>
  </si>
  <si>
    <t>Minimum plate thickness, T =</t>
  </si>
  <si>
    <t>Plate shear strength, Pps =</t>
  </si>
  <si>
    <t>Bolt shear strength, Pbs =</t>
  </si>
  <si>
    <t>Plate bearing strength, Ppb =</t>
  </si>
  <si>
    <t>ksi</t>
  </si>
  <si>
    <t>Plate tension strength, Ppt =</t>
  </si>
  <si>
    <t>Connection efficiency, e =</t>
  </si>
  <si>
    <t>Center plate thickness, T1 =</t>
  </si>
  <si>
    <t>Center plate tension strength, Pct =</t>
  </si>
  <si>
    <t>Center plate shear strength, Pps =</t>
  </si>
  <si>
    <t>Center plate bearing strength, Ppb =</t>
  </si>
  <si>
    <t>Plate allowable shear stress, Sps =</t>
  </si>
  <si>
    <t>Plate allowable tension stress, Spt =</t>
  </si>
  <si>
    <t>Plate allowable brg stress, Spb =</t>
  </si>
  <si>
    <t>Bolt hole diameter, Dh =</t>
  </si>
  <si>
    <t xml:space="preserve">Spt * T * W </t>
  </si>
  <si>
    <t>( Plate section area with no holes )</t>
  </si>
  <si>
    <t>X</t>
  </si>
  <si>
    <t>Applied load, Pa =</t>
  </si>
  <si>
    <t>Safety Factor, SF =</t>
  </si>
  <si>
    <t>Pa / Pf</t>
  </si>
  <si>
    <t>Parent Member Strength, Ppm =</t>
  </si>
  <si>
    <t xml:space="preserve"> </t>
  </si>
  <si>
    <t>Minimum (T1 or T2) plate thickness, T =</t>
  </si>
  <si>
    <t xml:space="preserve">Spt * T1 * W </t>
  </si>
  <si>
    <t>Pf / Ppm</t>
  </si>
  <si>
    <t>X1 =</t>
  </si>
  <si>
    <t>X2 =</t>
  </si>
  <si>
    <t>X3 =</t>
  </si>
  <si>
    <t>T1 =</t>
  </si>
  <si>
    <t>T2 =</t>
  </si>
  <si>
    <t>Y1 =</t>
  </si>
  <si>
    <t>Y2 =</t>
  </si>
  <si>
    <t>lbs</t>
  </si>
  <si>
    <t>kpsi</t>
  </si>
  <si>
    <t>Number of bolts, N =</t>
  </si>
  <si>
    <t>Number of bolts,  N =</t>
  </si>
  <si>
    <t xml:space="preserve"> X1 =</t>
  </si>
  <si>
    <t>Bolt section area,  A =</t>
  </si>
  <si>
    <t>Bolt diameter,  D =</t>
  </si>
  <si>
    <t>D</t>
  </si>
  <si>
    <t>Xn</t>
  </si>
  <si>
    <t>N</t>
  </si>
  <si>
    <t>Double Shear</t>
  </si>
  <si>
    <t>Db + 1/8</t>
  </si>
  <si>
    <t>2 * N * Sbs * Pi * D^2 / 4</t>
  </si>
  <si>
    <t>Plate ultimate tension stress, Su =</t>
  </si>
  <si>
    <t>Spb1 =</t>
  </si>
  <si>
    <t>Spb2 =</t>
  </si>
  <si>
    <t>Spb3 =</t>
  </si>
  <si>
    <t>1.5 * Su</t>
  </si>
  <si>
    <t>0.6 * Sy</t>
  </si>
  <si>
    <t>Plate yield stress, Sy =</t>
  </si>
  <si>
    <t>Plate net area tension strength, Ppt =</t>
  </si>
  <si>
    <t>0.5 * Su</t>
  </si>
  <si>
    <t>Plate bearing strength, Ppb1 =</t>
  </si>
  <si>
    <t>Plate bearing strength, Ppb2 =</t>
  </si>
  <si>
    <t>Plate bearing strength, Ppb3 =</t>
  </si>
  <si>
    <t xml:space="preserve"> X2 =</t>
  </si>
  <si>
    <t>Bolts</t>
  </si>
  <si>
    <t>Plates</t>
  </si>
  <si>
    <t>N * Sbs * Pi * D^2 / 4</t>
  </si>
  <si>
    <t>Rn</t>
  </si>
  <si>
    <t>Rn^2</t>
  </si>
  <si>
    <t>Pn</t>
  </si>
  <si>
    <t>deg</t>
  </si>
  <si>
    <t>FASTENER</t>
  </si>
  <si>
    <t>ALLOWABLE</t>
  </si>
  <si>
    <t>RIVETS</t>
  </si>
  <si>
    <t>A502 Grade 1</t>
  </si>
  <si>
    <t>A502 Grade 2</t>
  </si>
  <si>
    <t>BOLTS</t>
  </si>
  <si>
    <t>A307</t>
  </si>
  <si>
    <r>
      <t>A325-N</t>
    </r>
    <r>
      <rPr>
        <vertAlign val="superscript"/>
        <sz val="10"/>
        <rFont val="Arial"/>
        <family val="2"/>
      </rPr>
      <t>b</t>
    </r>
  </si>
  <si>
    <r>
      <t>A325-X</t>
    </r>
    <r>
      <rPr>
        <vertAlign val="superscript"/>
        <sz val="10"/>
        <rFont val="Arial"/>
        <family val="2"/>
      </rPr>
      <t>b</t>
    </r>
  </si>
  <si>
    <r>
      <t>A490-N</t>
    </r>
    <r>
      <rPr>
        <vertAlign val="superscript"/>
        <sz val="10"/>
        <rFont val="Arial"/>
        <family val="2"/>
      </rPr>
      <t>b</t>
    </r>
  </si>
  <si>
    <t>A325-F</t>
  </si>
  <si>
    <t>A490-F</t>
  </si>
  <si>
    <r>
      <t>SHEAR KSI</t>
    </r>
    <r>
      <rPr>
        <b/>
        <vertAlign val="superscript"/>
        <sz val="10"/>
        <rFont val="Arial"/>
        <family val="2"/>
      </rPr>
      <t>a</t>
    </r>
  </si>
  <si>
    <t>See above:</t>
  </si>
  <si>
    <t>See individual bolt force vector additions below.</t>
  </si>
  <si>
    <t>Top+Bot plate tension strength, Pct =</t>
  </si>
  <si>
    <t>Top+Bot plate shear strength, Pps =</t>
  </si>
  <si>
    <r>
      <t>A490-X</t>
    </r>
    <r>
      <rPr>
        <vertAlign val="superscript"/>
        <sz val="10"/>
        <rFont val="Arial"/>
        <family val="2"/>
      </rPr>
      <t>c</t>
    </r>
  </si>
  <si>
    <t>MATH TOOLS</t>
  </si>
  <si>
    <t>BOLT SHEAR</t>
  </si>
  <si>
    <t>BOLT TENSION</t>
  </si>
  <si>
    <t>Plate tension per net area, Sptn =</t>
  </si>
  <si>
    <t>Plate tension per gross area, Sptg =</t>
  </si>
  <si>
    <t xml:space="preserve">Sptg * T * W </t>
  </si>
  <si>
    <t>Sptn * T * ( W - ( 3 * Dh ) )</t>
  </si>
  <si>
    <t>Single Shear</t>
  </si>
  <si>
    <t>BOLTS IN DOUBLE SHEAR</t>
  </si>
  <si>
    <t>psi</t>
  </si>
  <si>
    <t>Calculation</t>
  </si>
  <si>
    <t>Bolt torque,  Q =</t>
  </si>
  <si>
    <t>Torque coefficient, C =</t>
  </si>
  <si>
    <t>1.33 * f</t>
  </si>
  <si>
    <t>in-lbs</t>
  </si>
  <si>
    <t>Bolt Size</t>
  </si>
  <si>
    <t>TPI</t>
  </si>
  <si>
    <t>UNC-2A</t>
  </si>
  <si>
    <t>Minor</t>
  </si>
  <si>
    <t>inch</t>
  </si>
  <si>
    <t>Bolt stress area, As =</t>
  </si>
  <si>
    <t>in^2</t>
  </si>
  <si>
    <t>Q / ( C * D )</t>
  </si>
  <si>
    <t>( Stb^2 + Ssb^2 )^(1/2)</t>
  </si>
  <si>
    <t>0.40 * Q * D / ( 2 * J )</t>
  </si>
  <si>
    <t>Safety factor,  SF =</t>
  </si>
  <si>
    <t>Bolt torque tension force,  Tq =</t>
  </si>
  <si>
    <t>Total bolt tensile stress,  Stb =</t>
  </si>
  <si>
    <t>Bolt torque shear stress,  Ssb =</t>
  </si>
  <si>
    <t>BOLT TENSION KSI</t>
  </si>
  <si>
    <t>A325</t>
  </si>
  <si>
    <t>A354</t>
  </si>
  <si>
    <t>Bolt allowable tension stress, Sta =</t>
  </si>
  <si>
    <t>Sta / Sp</t>
  </si>
  <si>
    <t>Bolt principal tension stress, Sp =</t>
  </si>
  <si>
    <t>Gusset thickness, T1 =</t>
  </si>
  <si>
    <t>Angle leg thickness, T2 =</t>
  </si>
  <si>
    <t>Angle leg length, L1 =</t>
  </si>
  <si>
    <t>Angle leg length, L2 =</t>
  </si>
  <si>
    <t xml:space="preserve">Section area with no holes </t>
  </si>
  <si>
    <t xml:space="preserve">2 * Sptg * (L1+L2-T2) * T2 </t>
  </si>
  <si>
    <t>Angles</t>
  </si>
  <si>
    <t>Bolt double shear strength, Pbs =</t>
  </si>
  <si>
    <t>Angle net area tension strength, Ppt =</t>
  </si>
  <si>
    <t>Two angles net tension area, Aan =</t>
  </si>
  <si>
    <t>Two angles no holes, tension, Pat =</t>
  </si>
  <si>
    <t xml:space="preserve">2 * [((L1+L2-T2) * T2) - 2 * ((D+.125) * T2)] </t>
  </si>
  <si>
    <t>0.85 * Sptn * Agt</t>
  </si>
  <si>
    <t>85% effective strength</t>
  </si>
  <si>
    <t>Bolt diameter, D =</t>
  </si>
  <si>
    <t>N * Spb1 * T1 * D</t>
  </si>
  <si>
    <t>N * Spb2 * T1 * D</t>
  </si>
  <si>
    <t>N * Spb3 * T1 * D</t>
  </si>
  <si>
    <t>(Su / 2) * ((Y3 / D) - 0.5)</t>
  </si>
  <si>
    <t>N bolt bearing strength-1</t>
  </si>
  <si>
    <t>N bolt bearing strength-2</t>
  </si>
  <si>
    <t>N bolt bearing strength-3</t>
  </si>
  <si>
    <t>Su * X1 / (2 * D)</t>
  </si>
  <si>
    <t>D + 1/8</t>
  </si>
  <si>
    <t>Bolt allowable shear stress, Sbs =</t>
  </si>
  <si>
    <t>Minimum failure load above, Pf =</t>
  </si>
  <si>
    <t>Coefficient of friction, f =</t>
  </si>
  <si>
    <t>(40% of applied torque)</t>
  </si>
  <si>
    <t>Horizontal force, H =</t>
  </si>
  <si>
    <t>Vertical force, V =</t>
  </si>
  <si>
    <t>Resultant force, R =</t>
  </si>
  <si>
    <t>( H^2 + V^2 )^(1/2)</t>
  </si>
  <si>
    <t>Angle, A =</t>
  </si>
  <si>
    <t>57.30 * ATAN(V / H)</t>
  </si>
  <si>
    <t>Spt * T1 * ( W - N*Dh )</t>
  </si>
  <si>
    <t>N * 2 * Sps * T1 * X</t>
  </si>
  <si>
    <t>2 * Spt * T2 * ( W - N * Dh )</t>
  </si>
  <si>
    <t>N * 4 * Sps * T2 * X</t>
  </si>
  <si>
    <t>Top+Bot plate bearing strength, Ppb =</t>
  </si>
  <si>
    <t>LAP JOINT - DOUBLE SHEAR</t>
  </si>
  <si>
    <t>LAP JOINT - SINGLE SHEAR</t>
  </si>
  <si>
    <t>Spt * T * ( W - N * Dh )</t>
  </si>
  <si>
    <t>N * 2 * Sps * T * X</t>
  </si>
  <si>
    <t>Bolt modulus of elasticity,   Eb =</t>
  </si>
  <si>
    <t>Bolt length, Lb =</t>
  </si>
  <si>
    <t>Plate effective area, Ap =</t>
  </si>
  <si>
    <t>3.1416 * (1.5 * D)^2 / 4</t>
  </si>
  <si>
    <t>Plate-1 stiffness: K1 =</t>
  </si>
  <si>
    <t>Plate-2 stiffness: K2 =</t>
  </si>
  <si>
    <t>Bolt stress area,  Ab = As =</t>
  </si>
  <si>
    <t>Bolt tension stress, Sb =</t>
  </si>
  <si>
    <t>lb/in</t>
  </si>
  <si>
    <t>Bolt allowable tensile stress, Sta =</t>
  </si>
  <si>
    <t>Sta / Sb</t>
  </si>
  <si>
    <r>
      <t>A325-X</t>
    </r>
    <r>
      <rPr>
        <vertAlign val="superscript"/>
        <sz val="10"/>
        <rFont val="Arial"/>
        <family val="2"/>
      </rPr>
      <t>c</t>
    </r>
  </si>
  <si>
    <t xml:space="preserve">               Sbs</t>
  </si>
  <si>
    <t>Top plate thickness =&gt; T1/2, T2 =</t>
  </si>
  <si>
    <t>Bearing strength-1, Spb1 =</t>
  </si>
  <si>
    <t>Bearing strength-3, Spb3 =</t>
  </si>
  <si>
    <t>Bearing strength-2, Spb2 =</t>
  </si>
  <si>
    <t>2 * Spb * T2 * N * D</t>
  </si>
  <si>
    <t>N * Spb * T1 * D</t>
  </si>
  <si>
    <t>(Su / 2) * ((X2 / D) - 0.5)</t>
  </si>
  <si>
    <t>N * Spb1 * T * D</t>
  </si>
  <si>
    <t>N * Spb2 * T * D</t>
  </si>
  <si>
    <t>N * Spb3 * T * D</t>
  </si>
  <si>
    <t>N * Sbs  * Pi * D^2 / 4</t>
  </si>
  <si>
    <t>N * 2 * Sbs *Pi* D^2/ 4</t>
  </si>
  <si>
    <t xml:space="preserve">Sptg * T1 * W </t>
  </si>
  <si>
    <t>Sptn * T1 * ( W - ( 3 * Dh ) )</t>
  </si>
  <si>
    <t>Spb * T * N * D</t>
  </si>
  <si>
    <t>2 * ( Y1 + Y2)</t>
  </si>
  <si>
    <t>Bolt external tension load, Fe =</t>
  </si>
  <si>
    <t>( Tq + Fe ) / As</t>
  </si>
  <si>
    <t>Bolt polar moment area,  J =</t>
  </si>
  <si>
    <t>Pi * D^4 / 32</t>
  </si>
  <si>
    <t>in^4</t>
  </si>
  <si>
    <t>Plate 1 thickness, X1 =</t>
  </si>
  <si>
    <t>Plate 2 thickness, X2 =</t>
  </si>
  <si>
    <t>Fbp / Kp</t>
  </si>
  <si>
    <t>Fbp / Kb</t>
  </si>
  <si>
    <t>Fe / Ab</t>
  </si>
  <si>
    <t>Eb * Ab / Lb</t>
  </si>
  <si>
    <t>Bolt extension, Xb =</t>
  </si>
  <si>
    <t xml:space="preserve"> Modulus of elasticity of plate-1, E1 =</t>
  </si>
  <si>
    <t xml:space="preserve"> Modulus of elasticity of plate-2, E2 =</t>
  </si>
  <si>
    <t>E1 * Ap / X1</t>
  </si>
  <si>
    <t>E2 * Ap / X2</t>
  </si>
  <si>
    <t>Fbp * [(Xb + Xp) / Xb ]</t>
  </si>
  <si>
    <t>Brass</t>
  </si>
  <si>
    <t>Bronze</t>
  </si>
  <si>
    <t>Cast Iron</t>
  </si>
  <si>
    <t>Duralumin</t>
  </si>
  <si>
    <t>Monel</t>
  </si>
  <si>
    <t>Mild Steel</t>
  </si>
  <si>
    <t>Stn Steel</t>
  </si>
  <si>
    <t>Metal</t>
  </si>
  <si>
    <r>
      <t>E x 10</t>
    </r>
    <r>
      <rPr>
        <b/>
        <vertAlign val="superscript"/>
        <sz val="10"/>
        <rFont val="Arial"/>
        <family val="2"/>
      </rPr>
      <t>6</t>
    </r>
  </si>
  <si>
    <t>Guess bolt preload per bolt,  Fbp =</t>
  </si>
  <si>
    <t xml:space="preserve"> 1 / K1 + 1 / K2 </t>
  </si>
  <si>
    <t xml:space="preserve">X1 + X2 </t>
  </si>
  <si>
    <t xml:space="preserve"> 1 / Kp =</t>
  </si>
  <si>
    <t>Stiffness of 2 plates,  Kp =</t>
  </si>
  <si>
    <t>Compression of 2 plates,  Xp =</t>
  </si>
  <si>
    <t>Bolt stiffness, Kb =</t>
  </si>
  <si>
    <t xml:space="preserve"> Bolt load for joint separation, Fe =</t>
  </si>
  <si>
    <t>Bolt nominal size, D =</t>
  </si>
  <si>
    <t>tpi</t>
  </si>
  <si>
    <t>Turns of the nut,  N =</t>
  </si>
  <si>
    <t>Bolt threads per inch,  TPI =</t>
  </si>
  <si>
    <t>Xb + Xp</t>
  </si>
  <si>
    <t>N * 360</t>
  </si>
  <si>
    <t>degrees</t>
  </si>
  <si>
    <t>Xt * TPI</t>
  </si>
  <si>
    <t>THE BOLT AND PLATE DIAGRAMS FROM ABOVE HAVE BEEN REPRODUCED HERE</t>
  </si>
  <si>
    <r>
      <t>Total bolt extension at separation</t>
    </r>
    <r>
      <rPr>
        <b/>
        <sz val="10"/>
        <rFont val="Arial"/>
        <family val="2"/>
      </rPr>
      <t>, Xt =</t>
    </r>
  </si>
  <si>
    <t>Bolt location dimension, X1 =</t>
  </si>
  <si>
    <t xml:space="preserve"> Bolt location dimension, X2 =</t>
  </si>
  <si>
    <t>Bolt location dimension, Y2 =</t>
  </si>
  <si>
    <t>Bolt location dimension, Y3 =</t>
  </si>
  <si>
    <t>Total nut rotation angle, A =</t>
  </si>
  <si>
    <t xml:space="preserve">Pf / Pa </t>
  </si>
  <si>
    <t>END OF WORKSHEET</t>
  </si>
  <si>
    <t>Screw thread pitch,  P =</t>
  </si>
  <si>
    <t>Thread pitch diameter,  d2 =</t>
  </si>
  <si>
    <t>Outside bearing surface diameter,  Do =</t>
  </si>
  <si>
    <t>Inside bearing surface diameter,  Di =</t>
  </si>
  <si>
    <t>Nominal bolt diameter,  d =</t>
  </si>
  <si>
    <r>
      <t xml:space="preserve">Thread half angle,  </t>
    </r>
    <r>
      <rPr>
        <sz val="10"/>
        <rFont val="Calibri"/>
        <family val="2"/>
      </rPr>
      <t>α</t>
    </r>
    <r>
      <rPr>
        <sz val="13"/>
        <rFont val="Arial"/>
        <family val="2"/>
      </rPr>
      <t xml:space="preserve"> =</t>
    </r>
  </si>
  <si>
    <t>Thread pitch or lead,  L =</t>
  </si>
  <si>
    <t>threads/inch</t>
  </si>
  <si>
    <t>Bolt</t>
  </si>
  <si>
    <t>Bolt material</t>
  </si>
  <si>
    <t>1/2-13 UNC</t>
  </si>
  <si>
    <t>SAE Grade 8</t>
  </si>
  <si>
    <t>Bolt thread stress area,  As =</t>
  </si>
  <si>
    <t>d - 0.649519*P</t>
  </si>
  <si>
    <t>d - 1.299038*P</t>
  </si>
  <si>
    <t>Thread per inch,  N =</t>
  </si>
  <si>
    <t>1 / N</t>
  </si>
  <si>
    <t>Bolt pre-load percent allowable,  p =</t>
  </si>
  <si>
    <t>%</t>
  </si>
  <si>
    <t>Bolt pre-load applied torque,  Tp =</t>
  </si>
  <si>
    <t>0.92*d</t>
  </si>
  <si>
    <t>1.5*d</t>
  </si>
  <si>
    <t>(π/4)*((dm + dp) / 2)^2</t>
  </si>
  <si>
    <t>Thread pitch diameter,  dp =</t>
  </si>
  <si>
    <t>Thread minor diameter,  dm =</t>
  </si>
  <si>
    <t>= b</t>
  </si>
  <si>
    <t>d</t>
  </si>
  <si>
    <t>Bearing &amp; thread friction coefficient,  µ =</t>
  </si>
  <si>
    <t>Pre-load axial bolt load,  Pb =</t>
  </si>
  <si>
    <t>Design bolt tensile strength,  σ =</t>
  </si>
  <si>
    <t>(p/100)*σ*As</t>
  </si>
  <si>
    <t>Ts + Tw</t>
  </si>
  <si>
    <t>Bolt pre-load applied torque due to threads,  Ts =</t>
  </si>
  <si>
    <t>Bolt pre-load applied torque due to bearing,  Tw =</t>
  </si>
  <si>
    <t>(Pb/2)*(µ*Dw)</t>
  </si>
  <si>
    <t xml:space="preserve"> Equivalent dia. of bearing surfaces, Dw =</t>
  </si>
  <si>
    <t>Load offset,  L =</t>
  </si>
  <si>
    <t>Yn</t>
  </si>
  <si>
    <t>Centroid C dimension,  Xo =</t>
  </si>
  <si>
    <r>
      <t>ΣRn</t>
    </r>
    <r>
      <rPr>
        <b/>
        <vertAlign val="superscript"/>
        <sz val="10"/>
        <rFont val="Arial"/>
        <family val="2"/>
      </rPr>
      <t>2</t>
    </r>
    <r>
      <rPr>
        <b/>
        <sz val="10"/>
        <rFont val="Arial"/>
        <family val="2"/>
      </rPr>
      <t>/(N*L)</t>
    </r>
  </si>
  <si>
    <t>Applied load, W =</t>
  </si>
  <si>
    <t>3.1416 * D^2 / 4</t>
  </si>
  <si>
    <t>Shear load in any bolt due to moment, Pn =</t>
  </si>
  <si>
    <r>
      <t>W*L/(ΣRn</t>
    </r>
    <r>
      <rPr>
        <vertAlign val="superscript"/>
        <sz val="10"/>
        <rFont val="Arial"/>
        <family val="2"/>
      </rPr>
      <t>2</t>
    </r>
    <r>
      <rPr>
        <sz val="10"/>
        <rFont val="Arial"/>
        <family val="2"/>
      </rPr>
      <t xml:space="preserve">) x Bolt radius from center </t>
    </r>
  </si>
  <si>
    <r>
      <t>SUM(Rn</t>
    </r>
    <r>
      <rPr>
        <vertAlign val="superscript"/>
        <sz val="10"/>
        <rFont val="Arial"/>
        <family val="2"/>
      </rPr>
      <t>2</t>
    </r>
    <r>
      <rPr>
        <sz val="10"/>
        <rFont val="Arial"/>
        <family val="2"/>
      </rPr>
      <t>) =</t>
    </r>
  </si>
  <si>
    <t>Y3 =</t>
  </si>
  <si>
    <t>( X^2 + Y^2 )^(1/2)</t>
  </si>
  <si>
    <t>Bolt-N radius about centroid 5 , RN =</t>
  </si>
  <si>
    <t>MOMENTS ABOUT CENTROID 5</t>
  </si>
  <si>
    <t>MOMENTS ABOUT CENTROID C</t>
  </si>
  <si>
    <t>W*L/(ΣRn2)  =</t>
  </si>
  <si>
    <t>Each bolt vertical shear, Ps = W / N =</t>
  </si>
  <si>
    <t>Bolt #9 vertical shear, Ps = W / N =</t>
  </si>
  <si>
    <t>Bolt #9 shear due to moment, Pn =</t>
  </si>
  <si>
    <t>Bolt #9 Resultant shear,  R9 =</t>
  </si>
  <si>
    <t>Angle,  A =</t>
  </si>
  <si>
    <t>57.3*ATAN(Y2/(Xo+X3))</t>
  </si>
  <si>
    <t>((P9*SIN(A/57.3)^2) + (Ps + P9*COS(A/57.3))^2)^0.5</t>
  </si>
  <si>
    <t>Note: Angle A degrees = (A/57.3) radians</t>
  </si>
  <si>
    <t>Bolt #3 Resultant shear,  R3 = R9 =</t>
  </si>
  <si>
    <t>MAXIMUM BOLT SHEAR</t>
  </si>
  <si>
    <r>
      <t>(2/3)*(Do</t>
    </r>
    <r>
      <rPr>
        <b/>
        <vertAlign val="superscript"/>
        <sz val="10"/>
        <rFont val="Arial"/>
        <family val="2"/>
      </rPr>
      <t>3</t>
    </r>
    <r>
      <rPr>
        <b/>
        <sz val="10"/>
        <rFont val="Arial"/>
        <family val="2"/>
      </rPr>
      <t xml:space="preserve"> - Di</t>
    </r>
    <r>
      <rPr>
        <b/>
        <vertAlign val="superscript"/>
        <sz val="10"/>
        <rFont val="Arial"/>
        <family val="2"/>
      </rPr>
      <t>3</t>
    </r>
    <r>
      <rPr>
        <b/>
        <sz val="10"/>
        <rFont val="Arial"/>
        <family val="2"/>
      </rPr>
      <t>) / (Do</t>
    </r>
    <r>
      <rPr>
        <b/>
        <vertAlign val="superscript"/>
        <sz val="10"/>
        <rFont val="Arial"/>
        <family val="2"/>
      </rPr>
      <t>2</t>
    </r>
    <r>
      <rPr>
        <b/>
        <sz val="10"/>
        <rFont val="Arial"/>
        <family val="2"/>
      </rPr>
      <t xml:space="preserve"> - Di</t>
    </r>
    <r>
      <rPr>
        <b/>
        <vertAlign val="superscript"/>
        <sz val="10"/>
        <rFont val="Arial"/>
        <family val="2"/>
      </rPr>
      <t>2</t>
    </r>
    <r>
      <rPr>
        <b/>
        <sz val="10"/>
        <rFont val="Arial"/>
        <family val="2"/>
      </rPr>
      <t>)</t>
    </r>
  </si>
  <si>
    <r>
      <t xml:space="preserve">(Pb/2)*((P/π) + </t>
    </r>
    <r>
      <rPr>
        <b/>
        <sz val="10"/>
        <rFont val="Calibri"/>
        <family val="2"/>
      </rPr>
      <t>µ*</t>
    </r>
    <r>
      <rPr>
        <b/>
        <sz val="10"/>
        <rFont val="Arial"/>
        <family val="2"/>
      </rPr>
      <t>d2 / Cos(</t>
    </r>
    <r>
      <rPr>
        <b/>
        <sz val="10"/>
        <rFont val="Calibri"/>
        <family val="2"/>
      </rPr>
      <t>α</t>
    </r>
    <r>
      <rPr>
        <b/>
        <sz val="10"/>
        <rFont val="Arial"/>
        <family val="2"/>
      </rPr>
      <t>'/57.3))</t>
    </r>
  </si>
  <si>
    <t>M271 BOLTED CONNECTIONS EXCEL CALCULATIONS</t>
  </si>
  <si>
    <t>Max Bolt Shear Stress,  Sb =</t>
  </si>
  <si>
    <t>Bolt Area An</t>
  </si>
  <si>
    <t>R9 / An</t>
  </si>
  <si>
    <t>Safety Factor =</t>
  </si>
  <si>
    <t>Sbs / Sb</t>
  </si>
  <si>
    <t>Load in any bolt, Pn =</t>
  </si>
  <si>
    <t>(X2^2 + Y2^2)^(1/2)</t>
  </si>
  <si>
    <t>R1 = R3 + R6 = R8 =</t>
  </si>
  <si>
    <t>R2 = R7 =</t>
  </si>
  <si>
    <t>R4 = R5 =</t>
  </si>
  <si>
    <t>Y2</t>
  </si>
  <si>
    <t>X2</t>
  </si>
  <si>
    <t>∑Rn^2 =</t>
  </si>
  <si>
    <t>∑(4*R1^2)+(2*R2^2)+(2*R4^2)</t>
  </si>
  <si>
    <t>Load radius arm,  Rv =</t>
  </si>
  <si>
    <t>Rn*V*Rv / ∑Rn^2</t>
  </si>
  <si>
    <t>Moment about CG of bolts, V*Rv =</t>
  </si>
  <si>
    <t>Applied vertical shear load,  V =</t>
  </si>
  <si>
    <t>Shear load on bolts:</t>
  </si>
  <si>
    <t>Sum of the above,  ∑Rn^2 =</t>
  </si>
  <si>
    <t>kip-in</t>
  </si>
  <si>
    <t>LOADS ON 8 BOLTS IN SINGLE SHEAR</t>
  </si>
  <si>
    <t>STRENGTH OF 8 BOLTS IN DOUBLE SHEAR</t>
  </si>
  <si>
    <t>LOADS ON OF 8 BOLTS IN DOUBLE SHEAR</t>
  </si>
  <si>
    <t xml:space="preserve"> = LOADS IN SINGLE SHEAR ABOVE</t>
  </si>
  <si>
    <t>STRESS</t>
  </si>
  <si>
    <t>DISPLACEMENT</t>
  </si>
  <si>
    <t>STRAIN</t>
  </si>
  <si>
    <t>Finite Element analysis (F.E.A.)</t>
  </si>
  <si>
    <t xml:space="preserve">BOLTED PLATE IN COMPRESSION </t>
  </si>
  <si>
    <t>© Copyright John Andrew P.E. 4 March 2008</t>
  </si>
  <si>
    <t>1/2 inch diameter hole through 1/2 inch thick 1020 CR steel plate 1.50” x 1.50”.</t>
  </si>
  <si>
    <t>10,000 psi pressure on top and bottom rings: 1” OD x 1/2” ID = 0.589 sq. in.</t>
  </si>
  <si>
    <t>STRENGTH OF 8 BOLTS IN SINGLE SHEAR</t>
  </si>
  <si>
    <t>Stress</t>
  </si>
  <si>
    <t>Area</t>
  </si>
  <si>
    <t>Dia.</t>
  </si>
  <si>
    <t xml:space="preserve">Bolt  </t>
  </si>
  <si>
    <t>Pi * D^2/4</t>
  </si>
  <si>
    <t>See Math Tools tab below.</t>
  </si>
  <si>
    <t>Data &gt; What-If Analysis &gt; Goal Seek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</si>
</sst>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
    <numFmt numFmtId="166" formatCode="0.000000"/>
    <numFmt numFmtId="167" formatCode="0.0"/>
    <numFmt numFmtId="168" formatCode="0.00000000000"/>
  </numFmts>
  <fonts count="22" x14ac:knownFonts="1">
    <font>
      <sz val="10"/>
      <name val="Arial"/>
    </font>
    <font>
      <sz val="10"/>
      <name val="Arial"/>
    </font>
    <font>
      <sz val="8"/>
      <name val="Arial"/>
      <family val="2"/>
    </font>
    <font>
      <b/>
      <sz val="10"/>
      <name val="Arial"/>
      <family val="2"/>
    </font>
    <font>
      <sz val="10"/>
      <name val="Arial"/>
      <family val="2"/>
    </font>
    <font>
      <b/>
      <sz val="10"/>
      <color indexed="10"/>
      <name val="Arial"/>
      <family val="2"/>
    </font>
    <font>
      <vertAlign val="superscript"/>
      <sz val="10"/>
      <name val="Arial"/>
      <family val="2"/>
    </font>
    <font>
      <b/>
      <vertAlign val="superscript"/>
      <sz val="10"/>
      <name val="Arial"/>
      <family val="2"/>
    </font>
    <font>
      <b/>
      <sz val="10"/>
      <color indexed="12"/>
      <name val="Arial"/>
      <family val="2"/>
    </font>
    <font>
      <b/>
      <sz val="9"/>
      <name val="Arial"/>
      <family val="2"/>
    </font>
    <font>
      <sz val="12"/>
      <color indexed="30"/>
      <name val="Times New Roman"/>
      <family val="1"/>
    </font>
    <font>
      <sz val="10"/>
      <name val="Calibri"/>
      <family val="2"/>
    </font>
    <font>
      <sz val="13"/>
      <name val="Arial"/>
      <family val="2"/>
    </font>
    <font>
      <b/>
      <sz val="11"/>
      <name val="Arial"/>
      <family val="2"/>
    </font>
    <font>
      <b/>
      <sz val="10"/>
      <name val="Calibri"/>
      <family val="2"/>
    </font>
    <font>
      <b/>
      <sz val="12"/>
      <name val="Calibri"/>
      <family val="2"/>
    </font>
    <font>
      <sz val="12"/>
      <name val="Arial"/>
      <family val="2"/>
    </font>
    <font>
      <b/>
      <sz val="12"/>
      <name val="Arial"/>
      <family val="2"/>
    </font>
    <font>
      <b/>
      <sz val="16"/>
      <name val="Calibri"/>
      <family val="2"/>
    </font>
    <font>
      <b/>
      <sz val="14"/>
      <color theme="1"/>
      <name val="Calibri"/>
      <family val="2"/>
    </font>
    <font>
      <b/>
      <sz val="12"/>
      <color theme="1"/>
      <name val="Arial"/>
      <family val="2"/>
    </font>
    <font>
      <sz val="10"/>
      <color rgb="FFFF0000"/>
      <name val="Arial"/>
      <family val="2"/>
    </font>
  </fonts>
  <fills count="5">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40"/>
        <bgColor indexed="64"/>
      </patternFill>
    </fill>
  </fills>
  <borders count="7">
    <border>
      <left/>
      <right/>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43">
    <xf numFmtId="0" fontId="0" fillId="0" borderId="0" xfId="0"/>
    <xf numFmtId="0" fontId="3" fillId="0" borderId="0" xfId="0" applyFont="1"/>
    <xf numFmtId="0" fontId="0" fillId="0" borderId="0" xfId="0" applyAlignment="1">
      <alignment horizontal="right"/>
    </xf>
    <xf numFmtId="0" fontId="0" fillId="0" borderId="0" xfId="0" applyAlignment="1">
      <alignment horizontal="left"/>
    </xf>
    <xf numFmtId="0" fontId="3" fillId="0" borderId="0" xfId="0" applyFont="1" applyAlignment="1">
      <alignment horizontal="left"/>
    </xf>
    <xf numFmtId="0" fontId="5" fillId="0" borderId="0" xfId="0" applyFont="1" applyAlignment="1">
      <alignment horizontal="center"/>
    </xf>
    <xf numFmtId="0" fontId="0" fillId="0" borderId="0" xfId="0" quotePrefix="1" applyAlignment="1">
      <alignment horizontal="right"/>
    </xf>
    <xf numFmtId="0" fontId="3" fillId="0" borderId="0" xfId="0" quotePrefix="1" applyFont="1" applyAlignment="1">
      <alignment horizontal="right"/>
    </xf>
    <xf numFmtId="2" fontId="3" fillId="0" borderId="0" xfId="0" applyNumberFormat="1" applyFont="1" applyAlignment="1">
      <alignment horizontal="left"/>
    </xf>
    <xf numFmtId="0" fontId="3" fillId="0" borderId="0" xfId="0" applyFont="1" applyAlignment="1">
      <alignment horizontal="right"/>
    </xf>
    <xf numFmtId="0" fontId="4" fillId="0" borderId="0" xfId="0" applyFont="1" applyAlignment="1">
      <alignment horizontal="right"/>
    </xf>
    <xf numFmtId="0" fontId="4" fillId="0" borderId="0" xfId="0" applyFont="1"/>
    <xf numFmtId="9" fontId="3" fillId="0" borderId="0" xfId="0" applyNumberFormat="1" applyFont="1" applyAlignment="1">
      <alignment horizontal="left"/>
    </xf>
    <xf numFmtId="164" fontId="0" fillId="0" borderId="1" xfId="0" applyNumberFormat="1" applyBorder="1" applyAlignment="1">
      <alignment horizontal="left"/>
    </xf>
    <xf numFmtId="164" fontId="0" fillId="0" borderId="0" xfId="0" applyNumberFormat="1" applyAlignment="1">
      <alignment horizontal="left"/>
    </xf>
    <xf numFmtId="0" fontId="4" fillId="0" borderId="0" xfId="0" applyFont="1" applyAlignment="1">
      <alignment horizontal="left"/>
    </xf>
    <xf numFmtId="0" fontId="1" fillId="0" borderId="0" xfId="0" applyFont="1" applyAlignment="1">
      <alignment horizontal="right"/>
    </xf>
    <xf numFmtId="164" fontId="0" fillId="0" borderId="0" xfId="0" applyNumberFormat="1"/>
    <xf numFmtId="0" fontId="0" fillId="0" borderId="2" xfId="0" applyBorder="1" applyAlignment="1">
      <alignment horizontal="right"/>
    </xf>
    <xf numFmtId="164" fontId="0" fillId="0" borderId="2" xfId="0" applyNumberFormat="1" applyBorder="1"/>
    <xf numFmtId="0" fontId="3" fillId="0" borderId="2" xfId="0" applyFont="1" applyBorder="1" applyAlignment="1">
      <alignment horizontal="right"/>
    </xf>
    <xf numFmtId="0" fontId="3" fillId="0" borderId="2" xfId="0" applyFont="1" applyBorder="1" applyAlignment="1">
      <alignment horizontal="center"/>
    </xf>
    <xf numFmtId="0" fontId="4" fillId="0" borderId="1" xfId="0" applyFont="1" applyBorder="1" applyAlignment="1">
      <alignment horizontal="left"/>
    </xf>
    <xf numFmtId="164" fontId="3" fillId="0" borderId="0" xfId="0" applyNumberFormat="1" applyFont="1" applyAlignment="1">
      <alignment horizontal="left"/>
    </xf>
    <xf numFmtId="2" fontId="0" fillId="0" borderId="0" xfId="0" applyNumberFormat="1"/>
    <xf numFmtId="0" fontId="3" fillId="0" borderId="0" xfId="0" applyFont="1" applyAlignment="1">
      <alignment horizontal="center"/>
    </xf>
    <xf numFmtId="1" fontId="0" fillId="0" borderId="0" xfId="0" applyNumberFormat="1"/>
    <xf numFmtId="2" fontId="0" fillId="0" borderId="2" xfId="0" applyNumberFormat="1" applyBorder="1"/>
    <xf numFmtId="1" fontId="3" fillId="0" borderId="0" xfId="0" applyNumberFormat="1" applyFont="1" applyAlignment="1">
      <alignment horizontal="left"/>
    </xf>
    <xf numFmtId="0" fontId="3" fillId="0" borderId="3" xfId="0" applyFont="1" applyBorder="1" applyAlignment="1">
      <alignment horizontal="center"/>
    </xf>
    <xf numFmtId="0" fontId="0" fillId="0" borderId="2" xfId="0" applyBorder="1"/>
    <xf numFmtId="0" fontId="5" fillId="0" borderId="0" xfId="0" applyFont="1" applyAlignment="1">
      <alignment horizontal="left"/>
    </xf>
    <xf numFmtId="0" fontId="5" fillId="0" borderId="0" xfId="0" applyFont="1"/>
    <xf numFmtId="0" fontId="8" fillId="0" borderId="0" xfId="0" applyFont="1" applyAlignment="1">
      <alignment horizontal="left"/>
    </xf>
    <xf numFmtId="2" fontId="3" fillId="0" borderId="0" xfId="0" applyNumberFormat="1" applyFont="1" applyAlignment="1">
      <alignment horizontal="center"/>
    </xf>
    <xf numFmtId="165" fontId="3" fillId="0" borderId="0" xfId="0" applyNumberFormat="1" applyFont="1" applyAlignment="1">
      <alignment horizontal="center"/>
    </xf>
    <xf numFmtId="166" fontId="3" fillId="0" borderId="0" xfId="0" applyNumberFormat="1" applyFont="1" applyAlignment="1">
      <alignment horizontal="center"/>
    </xf>
    <xf numFmtId="1" fontId="5" fillId="0" borderId="0" xfId="0" applyNumberFormat="1" applyFont="1" applyAlignment="1">
      <alignment horizontal="center"/>
    </xf>
    <xf numFmtId="1" fontId="5" fillId="0" borderId="0" xfId="0" applyNumberFormat="1" applyFont="1" applyAlignment="1" applyProtection="1">
      <alignment horizontal="center"/>
      <protection locked="0"/>
    </xf>
    <xf numFmtId="0" fontId="0" fillId="0" borderId="0" xfId="0" applyAlignment="1">
      <alignment horizontal="center"/>
    </xf>
    <xf numFmtId="16" fontId="0" fillId="0" borderId="0" xfId="0" quotePrefix="1" applyNumberFormat="1" applyAlignment="1">
      <alignment horizontal="center"/>
    </xf>
    <xf numFmtId="0" fontId="0" fillId="0" borderId="0" xfId="0" quotePrefix="1" applyAlignment="1">
      <alignment horizontal="center"/>
    </xf>
    <xf numFmtId="0" fontId="0" fillId="0" borderId="2" xfId="0" applyBorder="1" applyAlignment="1">
      <alignment horizontal="center"/>
    </xf>
    <xf numFmtId="0" fontId="3" fillId="0" borderId="2" xfId="0" applyFont="1" applyBorder="1" applyAlignment="1">
      <alignment horizontal="left"/>
    </xf>
    <xf numFmtId="2" fontId="3" fillId="0" borderId="0" xfId="0" applyNumberFormat="1" applyFont="1" applyAlignment="1" applyProtection="1">
      <alignment horizontal="left"/>
      <protection locked="0"/>
    </xf>
    <xf numFmtId="165" fontId="3" fillId="0" borderId="0" xfId="0" applyNumberFormat="1" applyFont="1" applyAlignment="1">
      <alignment horizontal="left"/>
    </xf>
    <xf numFmtId="167" fontId="3" fillId="0" borderId="0" xfId="0" applyNumberFormat="1" applyFont="1" applyAlignment="1">
      <alignment horizontal="left"/>
    </xf>
    <xf numFmtId="2" fontId="0" fillId="0" borderId="0" xfId="0" applyNumberFormat="1" applyAlignment="1">
      <alignment horizontal="center"/>
    </xf>
    <xf numFmtId="2" fontId="0" fillId="0" borderId="2" xfId="0" applyNumberFormat="1" applyBorder="1" applyAlignment="1">
      <alignment horizontal="center"/>
    </xf>
    <xf numFmtId="164" fontId="0" fillId="0" borderId="0" xfId="0" quotePrefix="1" applyNumberFormat="1" applyAlignment="1">
      <alignment horizontal="center"/>
    </xf>
    <xf numFmtId="164" fontId="0" fillId="0" borderId="2" xfId="0" applyNumberFormat="1" applyBorder="1" applyAlignment="1">
      <alignment horizontal="center"/>
    </xf>
    <xf numFmtId="2" fontId="3" fillId="0" borderId="2" xfId="0" applyNumberFormat="1" applyFont="1" applyBorder="1" applyAlignment="1">
      <alignment horizontal="left"/>
    </xf>
    <xf numFmtId="0" fontId="4" fillId="0" borderId="4" xfId="0" applyFont="1" applyBorder="1" applyAlignment="1">
      <alignment horizontal="left"/>
    </xf>
    <xf numFmtId="167" fontId="0" fillId="0" borderId="5" xfId="0" applyNumberFormat="1" applyBorder="1" applyAlignment="1">
      <alignment horizontal="left"/>
    </xf>
    <xf numFmtId="167" fontId="0" fillId="0" borderId="1" xfId="0" applyNumberFormat="1" applyBorder="1" applyAlignment="1">
      <alignment horizontal="left"/>
    </xf>
    <xf numFmtId="1" fontId="0" fillId="0" borderId="1" xfId="0" applyNumberFormat="1" applyBorder="1" applyAlignment="1">
      <alignment horizontal="left"/>
    </xf>
    <xf numFmtId="164" fontId="0" fillId="0" borderId="2" xfId="0" applyNumberFormat="1" applyBorder="1" applyAlignment="1">
      <alignment horizontal="left"/>
    </xf>
    <xf numFmtId="165" fontId="0" fillId="0" borderId="0" xfId="0" applyNumberFormat="1"/>
    <xf numFmtId="166" fontId="3" fillId="0" borderId="0" xfId="0" applyNumberFormat="1" applyFont="1" applyAlignment="1">
      <alignment horizontal="left"/>
    </xf>
    <xf numFmtId="1" fontId="0" fillId="0" borderId="0" xfId="0" applyNumberFormat="1" applyAlignment="1">
      <alignment horizontal="center"/>
    </xf>
    <xf numFmtId="0" fontId="3" fillId="0" borderId="2" xfId="0" applyFont="1" applyBorder="1"/>
    <xf numFmtId="1" fontId="0" fillId="0" borderId="2" xfId="0" applyNumberFormat="1" applyBorder="1" applyAlignment="1">
      <alignment horizontal="center"/>
    </xf>
    <xf numFmtId="167" fontId="0" fillId="0" borderId="0" xfId="0" applyNumberFormat="1" applyAlignment="1">
      <alignment horizontal="center"/>
    </xf>
    <xf numFmtId="0" fontId="8" fillId="0" borderId="0" xfId="0" applyFont="1" applyAlignment="1">
      <alignment horizontal="right"/>
    </xf>
    <xf numFmtId="0" fontId="8" fillId="0" borderId="0" xfId="0" applyFont="1"/>
    <xf numFmtId="165" fontId="8" fillId="0" borderId="0" xfId="0" applyNumberFormat="1" applyFont="1" applyAlignment="1">
      <alignment horizontal="left"/>
    </xf>
    <xf numFmtId="2" fontId="8" fillId="0" borderId="0" xfId="0" applyNumberFormat="1" applyFont="1" applyAlignment="1">
      <alignment horizontal="left"/>
    </xf>
    <xf numFmtId="0" fontId="9" fillId="0" borderId="0" xfId="0" applyFont="1" applyAlignment="1">
      <alignment horizontal="right"/>
    </xf>
    <xf numFmtId="1" fontId="0" fillId="0" borderId="5" xfId="0" applyNumberFormat="1" applyBorder="1" applyAlignment="1" applyProtection="1">
      <alignment horizontal="left"/>
      <protection locked="0"/>
    </xf>
    <xf numFmtId="164"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 fontId="0" fillId="0" borderId="4" xfId="0" applyNumberFormat="1" applyBorder="1" applyAlignment="1" applyProtection="1">
      <alignment horizontal="left"/>
      <protection locked="0"/>
    </xf>
    <xf numFmtId="0" fontId="0" fillId="0" borderId="0" xfId="0" applyProtection="1">
      <protection locked="0"/>
    </xf>
    <xf numFmtId="0" fontId="3" fillId="0" borderId="0" xfId="0" applyFont="1" applyProtection="1">
      <protection locked="0"/>
    </xf>
    <xf numFmtId="0" fontId="3" fillId="0" borderId="0" xfId="0" applyFont="1" applyAlignment="1" applyProtection="1">
      <alignment horizontal="right"/>
      <protection locked="0"/>
    </xf>
    <xf numFmtId="167" fontId="0" fillId="0" borderId="5" xfId="0" applyNumberFormat="1" applyBorder="1" applyAlignment="1" applyProtection="1">
      <alignment horizontal="left"/>
      <protection locked="0"/>
    </xf>
    <xf numFmtId="167"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4" xfId="0" applyFont="1" applyBorder="1" applyAlignment="1" applyProtection="1">
      <alignment horizontal="left"/>
      <protection locked="0"/>
    </xf>
    <xf numFmtId="2" fontId="4" fillId="0" borderId="5" xfId="0" applyNumberFormat="1" applyFont="1" applyBorder="1" applyAlignment="1" applyProtection="1">
      <alignment horizontal="left"/>
      <protection locked="0"/>
    </xf>
    <xf numFmtId="0" fontId="0" fillId="0" borderId="5" xfId="0" applyBorder="1" applyAlignment="1" applyProtection="1">
      <alignment horizontal="left"/>
      <protection locked="0"/>
    </xf>
    <xf numFmtId="164" fontId="0" fillId="0" borderId="4" xfId="0" applyNumberFormat="1" applyBorder="1" applyAlignment="1" applyProtection="1">
      <alignment horizontal="left"/>
      <protection locked="0"/>
    </xf>
    <xf numFmtId="0" fontId="3" fillId="0" borderId="0" xfId="0" applyFont="1" applyAlignment="1" applyProtection="1">
      <alignment horizontal="center"/>
      <protection locked="0"/>
    </xf>
    <xf numFmtId="2" fontId="0" fillId="0" borderId="0" xfId="0" applyNumberFormat="1" applyProtection="1">
      <protection locked="0"/>
    </xf>
    <xf numFmtId="0" fontId="0" fillId="0" borderId="0" xfId="0" applyAlignment="1" applyProtection="1">
      <alignment horizontal="left"/>
      <protection locked="0"/>
    </xf>
    <xf numFmtId="0" fontId="4" fillId="0" borderId="0" xfId="0" applyFont="1" applyAlignment="1" applyProtection="1">
      <alignment horizontal="left"/>
      <protection locked="0"/>
    </xf>
    <xf numFmtId="167"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1" fontId="0" fillId="0" borderId="0" xfId="0" applyNumberFormat="1" applyAlignment="1" applyProtection="1">
      <alignment horizontal="left"/>
      <protection locked="0"/>
    </xf>
    <xf numFmtId="16" fontId="0" fillId="0" borderId="0" xfId="0" applyNumberFormat="1" applyProtection="1">
      <protection locked="0"/>
    </xf>
    <xf numFmtId="0" fontId="0" fillId="0" borderId="0" xfId="0" applyAlignment="1" applyProtection="1">
      <alignment horizontal="right"/>
      <protection locked="0"/>
    </xf>
    <xf numFmtId="167" fontId="3" fillId="2" borderId="6" xfId="0" applyNumberFormat="1" applyFont="1" applyFill="1" applyBorder="1" applyAlignment="1" applyProtection="1">
      <alignment horizontal="left"/>
      <protection locked="0"/>
    </xf>
    <xf numFmtId="167" fontId="3" fillId="3" borderId="6" xfId="0" applyNumberFormat="1" applyFont="1" applyFill="1" applyBorder="1" applyAlignment="1" applyProtection="1">
      <alignment horizontal="left"/>
      <protection locked="0"/>
    </xf>
    <xf numFmtId="165" fontId="0" fillId="0" borderId="0" xfId="0" applyNumberFormat="1" applyProtection="1">
      <protection locked="0"/>
    </xf>
    <xf numFmtId="167" fontId="3" fillId="4" borderId="6" xfId="0" applyNumberFormat="1" applyFont="1" applyFill="1" applyBorder="1" applyAlignment="1" applyProtection="1">
      <alignment horizontal="left"/>
      <protection locked="0"/>
    </xf>
    <xf numFmtId="0" fontId="10" fillId="0" borderId="0" xfId="0" applyFont="1" applyProtection="1">
      <protection locked="0"/>
    </xf>
    <xf numFmtId="168" fontId="3" fillId="0" borderId="0" xfId="0" applyNumberFormat="1" applyFont="1" applyAlignment="1">
      <alignment horizontal="left"/>
    </xf>
    <xf numFmtId="0" fontId="4" fillId="0" borderId="0" xfId="0" applyFont="1" applyProtection="1">
      <protection locked="0"/>
    </xf>
    <xf numFmtId="0" fontId="4" fillId="0" borderId="0" xfId="0" applyFont="1" applyAlignment="1" applyProtection="1">
      <alignment horizontal="right"/>
      <protection locked="0"/>
    </xf>
    <xf numFmtId="1" fontId="0" fillId="0" borderId="0" xfId="0" applyNumberFormat="1" applyAlignment="1">
      <alignment horizontal="left"/>
    </xf>
    <xf numFmtId="0" fontId="4" fillId="0" borderId="5" xfId="0" applyFont="1" applyBorder="1" applyAlignment="1" applyProtection="1">
      <alignment horizontal="left"/>
      <protection locked="0"/>
    </xf>
    <xf numFmtId="3" fontId="0" fillId="0" borderId="5" xfId="0" applyNumberFormat="1" applyBorder="1" applyAlignment="1" applyProtection="1">
      <alignment horizontal="left"/>
      <protection locked="0"/>
    </xf>
    <xf numFmtId="3" fontId="0" fillId="0" borderId="1" xfId="0" applyNumberFormat="1" applyBorder="1" applyAlignment="1" applyProtection="1">
      <alignment horizontal="left"/>
      <protection locked="0"/>
    </xf>
    <xf numFmtId="3" fontId="0" fillId="0" borderId="4" xfId="0" applyNumberFormat="1" applyBorder="1" applyAlignment="1" applyProtection="1">
      <alignment horizontal="left"/>
      <protection locked="0"/>
    </xf>
    <xf numFmtId="3" fontId="3" fillId="0" borderId="0" xfId="0" applyNumberFormat="1" applyFont="1" applyAlignment="1">
      <alignment horizontal="left"/>
    </xf>
    <xf numFmtId="2" fontId="0" fillId="0" borderId="0" xfId="0" applyNumberFormat="1" applyAlignment="1" applyProtection="1">
      <alignment horizontal="left"/>
      <protection locked="0"/>
    </xf>
    <xf numFmtId="164" fontId="4" fillId="0" borderId="0" xfId="0" applyNumberFormat="1" applyFont="1"/>
    <xf numFmtId="164" fontId="4" fillId="0" borderId="2" xfId="0" applyNumberFormat="1" applyFont="1" applyBorder="1"/>
    <xf numFmtId="164" fontId="0" fillId="0" borderId="0" xfId="0" applyNumberFormat="1" applyAlignment="1">
      <alignment horizontal="center"/>
    </xf>
    <xf numFmtId="0" fontId="3" fillId="0" borderId="0" xfId="0" applyFont="1" applyAlignment="1" applyProtection="1">
      <alignment horizontal="left"/>
      <protection locked="0"/>
    </xf>
    <xf numFmtId="164" fontId="4" fillId="0" borderId="0" xfId="0" applyNumberFormat="1" applyFont="1" applyAlignment="1" applyProtection="1">
      <alignment horizontal="left"/>
      <protection locked="0"/>
    </xf>
    <xf numFmtId="0" fontId="13" fillId="0" borderId="0" xfId="0" applyFont="1"/>
    <xf numFmtId="1" fontId="4" fillId="0" borderId="0" xfId="0" applyNumberFormat="1" applyFont="1" applyAlignment="1">
      <alignment horizontal="right"/>
    </xf>
    <xf numFmtId="0" fontId="3" fillId="0" borderId="0" xfId="0" quotePrefix="1" applyFont="1"/>
    <xf numFmtId="164" fontId="3" fillId="0" borderId="0" xfId="0" applyNumberFormat="1" applyFont="1" applyAlignment="1" applyProtection="1">
      <alignment horizontal="left"/>
      <protection locked="0"/>
    </xf>
    <xf numFmtId="0" fontId="4" fillId="0" borderId="0" xfId="0" applyFont="1" applyAlignment="1">
      <alignment horizontal="right" vertical="center"/>
    </xf>
    <xf numFmtId="0" fontId="4" fillId="0" borderId="0" xfId="0" applyFont="1" applyAlignment="1">
      <alignment vertical="center"/>
    </xf>
    <xf numFmtId="164" fontId="4" fillId="0" borderId="0" xfId="0" applyNumberFormat="1" applyFont="1" applyAlignment="1">
      <alignment vertical="center"/>
    </xf>
    <xf numFmtId="0" fontId="18" fillId="0" borderId="0" xfId="0" applyFont="1" applyAlignment="1">
      <alignment horizontal="center" vertical="center"/>
    </xf>
    <xf numFmtId="0" fontId="17" fillId="0" borderId="0" xfId="0" applyFont="1" applyAlignment="1">
      <alignment horizontal="center"/>
    </xf>
    <xf numFmtId="3" fontId="0" fillId="0" borderId="0" xfId="0" applyNumberFormat="1"/>
    <xf numFmtId="3" fontId="4" fillId="0" borderId="0" xfId="0" applyNumberFormat="1" applyFont="1"/>
    <xf numFmtId="0" fontId="15" fillId="0" borderId="0" xfId="0" applyFont="1" applyAlignment="1">
      <alignment horizontal="left" vertical="center"/>
    </xf>
    <xf numFmtId="0" fontId="16" fillId="0" borderId="0" xfId="0" applyFont="1"/>
    <xf numFmtId="0" fontId="16" fillId="0" borderId="0" xfId="0" applyFont="1" applyProtection="1">
      <protection locked="0"/>
    </xf>
    <xf numFmtId="0" fontId="20" fillId="0" borderId="0" xfId="0" applyFont="1"/>
    <xf numFmtId="0" fontId="19" fillId="0" borderId="0" xfId="0" applyFont="1" applyAlignment="1">
      <alignment horizontal="left" vertical="center"/>
    </xf>
    <xf numFmtId="2" fontId="3" fillId="3" borderId="6" xfId="0" applyNumberFormat="1" applyFont="1" applyFill="1" applyBorder="1" applyAlignment="1" applyProtection="1">
      <alignment horizontal="left"/>
      <protection locked="0"/>
    </xf>
    <xf numFmtId="0" fontId="3" fillId="0" borderId="2" xfId="0" applyFont="1" applyFill="1" applyBorder="1" applyAlignment="1">
      <alignment horizontal="center"/>
    </xf>
    <xf numFmtId="0" fontId="0" fillId="0" borderId="0" xfId="0" applyBorder="1" applyAlignment="1">
      <alignment horizontal="center"/>
    </xf>
    <xf numFmtId="0" fontId="3" fillId="0" borderId="0" xfId="0" applyFont="1" applyBorder="1" applyAlignment="1">
      <alignment horizontal="center"/>
    </xf>
    <xf numFmtId="165" fontId="0" fillId="0" borderId="0" xfId="0" applyNumberFormat="1" applyAlignment="1">
      <alignment horizontal="center"/>
    </xf>
    <xf numFmtId="165" fontId="0" fillId="0" borderId="2" xfId="0" applyNumberFormat="1" applyBorder="1" applyAlignment="1">
      <alignment horizontal="center"/>
    </xf>
    <xf numFmtId="0" fontId="0" fillId="0" borderId="0" xfId="0" applyBorder="1"/>
    <xf numFmtId="0" fontId="0" fillId="0" borderId="0" xfId="0" quotePrefix="1" applyBorder="1" applyAlignment="1">
      <alignment horizontal="center"/>
    </xf>
    <xf numFmtId="165" fontId="0" fillId="0" borderId="0" xfId="0" applyNumberFormat="1" applyBorder="1" applyAlignment="1">
      <alignment horizontal="center"/>
    </xf>
    <xf numFmtId="16" fontId="0" fillId="0" borderId="0" xfId="0" quotePrefix="1" applyNumberFormat="1" applyBorder="1" applyAlignment="1">
      <alignment horizontal="center"/>
    </xf>
    <xf numFmtId="2" fontId="3" fillId="0" borderId="6" xfId="0" applyNumberFormat="1" applyFont="1" applyBorder="1" applyAlignment="1" applyProtection="1">
      <alignment horizontal="left"/>
      <protection locked="0"/>
    </xf>
    <xf numFmtId="164" fontId="0" fillId="0" borderId="0" xfId="0" quotePrefix="1" applyNumberFormat="1" applyBorder="1" applyAlignment="1">
      <alignment horizontal="center"/>
    </xf>
    <xf numFmtId="164" fontId="0" fillId="0" borderId="0" xfId="0" applyNumberFormat="1" applyBorder="1" applyAlignment="1">
      <alignment horizontal="center"/>
    </xf>
    <xf numFmtId="165" fontId="21" fillId="0" borderId="1" xfId="0" applyNumberFormat="1" applyFont="1" applyBorder="1" applyAlignment="1" applyProtection="1">
      <alignment horizontal="left"/>
      <protection locked="0"/>
    </xf>
    <xf numFmtId="0" fontId="21" fillId="0" borderId="1" xfId="0" applyFont="1"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jpeg"/><Relationship Id="rId3" Type="http://schemas.openxmlformats.org/officeDocument/2006/relationships/image" Target="../media/image8.jpeg"/><Relationship Id="rId7" Type="http://schemas.openxmlformats.org/officeDocument/2006/relationships/image" Target="../media/image12.jpeg"/><Relationship Id="rId2" Type="http://schemas.openxmlformats.org/officeDocument/2006/relationships/image" Target="../media/image7.jpeg"/><Relationship Id="rId1" Type="http://schemas.openxmlformats.org/officeDocument/2006/relationships/image" Target="../media/image6.jpeg"/><Relationship Id="rId6" Type="http://schemas.openxmlformats.org/officeDocument/2006/relationships/image" Target="../media/image11.jpeg"/><Relationship Id="rId5" Type="http://schemas.openxmlformats.org/officeDocument/2006/relationships/image" Target="../media/image10.jpeg"/><Relationship Id="rId4" Type="http://schemas.openxmlformats.org/officeDocument/2006/relationships/image" Target="../media/image9.jpeg"/><Relationship Id="rId9"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jpg"/><Relationship Id="rId2" Type="http://schemas.openxmlformats.org/officeDocument/2006/relationships/image" Target="../media/image21.jpeg"/><Relationship Id="rId1" Type="http://schemas.openxmlformats.org/officeDocument/2006/relationships/image" Target="../media/image20.jpeg"/><Relationship Id="rId4" Type="http://schemas.openxmlformats.org/officeDocument/2006/relationships/image" Target="../media/image23.jpg"/></Relationships>
</file>

<file path=xl/drawings/drawing1.xml><?xml version="1.0" encoding="utf-8"?>
<xdr:wsDr xmlns:xdr="http://schemas.openxmlformats.org/drawingml/2006/spreadsheetDrawing" xmlns:a="http://schemas.openxmlformats.org/drawingml/2006/main">
  <xdr:twoCellAnchor>
    <xdr:from>
      <xdr:col>1</xdr:col>
      <xdr:colOff>0</xdr:colOff>
      <xdr:row>185</xdr:row>
      <xdr:rowOff>66675</xdr:rowOff>
    </xdr:from>
    <xdr:to>
      <xdr:col>7</xdr:col>
      <xdr:colOff>600075</xdr:colOff>
      <xdr:row>200</xdr:row>
      <xdr:rowOff>142875</xdr:rowOff>
    </xdr:to>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476250" y="30184725"/>
          <a:ext cx="5000625" cy="2505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n-US" sz="1000" b="1"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Bolt</a:t>
          </a:r>
          <a:r>
            <a:rPr lang="en-US" sz="1000" b="1" i="0" strike="noStrike">
              <a:solidFill>
                <a:srgbClr val="000000"/>
              </a:solidFill>
              <a:latin typeface="Arial"/>
              <a:cs typeface="Arial"/>
            </a:rPr>
            <a:t> </a:t>
          </a:r>
          <a:r>
            <a:rPr lang="en-US" sz="1000" b="0" i="0" strike="noStrike">
              <a:solidFill>
                <a:srgbClr val="000000"/>
              </a:solidFill>
              <a:latin typeface="Arial"/>
              <a:cs typeface="Arial"/>
            </a:rPr>
            <a:t>tension, Tq is the load resulting from tightening torque, Q applied to the nut, above. The torque coefficient, C was measured experimentally under a variety of conditions.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Bolt torque, Q = C x D x Tq</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D   = Bolt nominal diameter.</a:t>
          </a:r>
        </a:p>
        <a:p>
          <a:pPr algn="l" rtl="0">
            <a:defRPr sz="1000"/>
          </a:pPr>
          <a:r>
            <a:rPr lang="en-US" sz="1000" b="0" i="0" strike="noStrike">
              <a:solidFill>
                <a:srgbClr val="000000"/>
              </a:solidFill>
              <a:latin typeface="Arial"/>
              <a:cs typeface="Arial"/>
            </a:rPr>
            <a:t>Fe  = Bolt external tension force.</a:t>
          </a:r>
        </a:p>
        <a:p>
          <a:pPr algn="l" rtl="0">
            <a:defRPr sz="1000"/>
          </a:pPr>
          <a:r>
            <a:rPr lang="en-US" sz="1000" b="0" i="0" strike="noStrike">
              <a:solidFill>
                <a:srgbClr val="000000"/>
              </a:solidFill>
              <a:latin typeface="Arial"/>
              <a:cs typeface="Arial"/>
            </a:rPr>
            <a:t>Tq  = Bolt internal tension force due to torque Q.  </a:t>
          </a:r>
        </a:p>
        <a:p>
          <a:pPr algn="l" rtl="0">
            <a:defRPr sz="1000"/>
          </a:pPr>
          <a:r>
            <a:rPr lang="en-US" sz="1000" b="0" i="0" strike="noStrike">
              <a:solidFill>
                <a:srgbClr val="000000"/>
              </a:solidFill>
              <a:latin typeface="Arial"/>
              <a:cs typeface="Arial"/>
            </a:rPr>
            <a:t>C   = Torque coefficient.</a:t>
          </a:r>
        </a:p>
        <a:p>
          <a:pPr algn="l" rtl="0">
            <a:defRPr sz="1000"/>
          </a:pPr>
          <a:r>
            <a:rPr lang="en-US" sz="1000" b="0" i="0" strike="noStrike">
              <a:solidFill>
                <a:srgbClr val="000000"/>
              </a:solidFill>
              <a:latin typeface="Arial"/>
              <a:cs typeface="Arial"/>
            </a:rPr>
            <a:t>f    = Coefficient of friction.</a:t>
          </a:r>
        </a:p>
        <a:p>
          <a:pPr algn="l" rtl="0">
            <a:defRPr sz="1000"/>
          </a:pPr>
          <a:r>
            <a:rPr lang="en-US" sz="1000" b="0" i="0" strike="noStrike">
              <a:solidFill>
                <a:srgbClr val="000000"/>
              </a:solidFill>
              <a:latin typeface="Arial"/>
              <a:cs typeface="Arial"/>
            </a:rPr>
            <a:t>As = Bolt stress area and is the minimum section at the thread root.</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 G.A. Maney, Predicting Bolt Tension, Fasteners Data Book.</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0</xdr:col>
      <xdr:colOff>219075</xdr:colOff>
      <xdr:row>208</xdr:row>
      <xdr:rowOff>19050</xdr:rowOff>
    </xdr:from>
    <xdr:to>
      <xdr:col>4</xdr:col>
      <xdr:colOff>257175</xdr:colOff>
      <xdr:row>216</xdr:row>
      <xdr:rowOff>123825</xdr:rowOff>
    </xdr:to>
    <xdr:sp macro="" textlink="">
      <xdr:nvSpPr>
        <xdr:cNvPr id="4098" name="Text Box 2">
          <a:extLst>
            <a:ext uri="{FF2B5EF4-FFF2-40B4-BE49-F238E27FC236}">
              <a16:creationId xmlns:a16="http://schemas.microsoft.com/office/drawing/2014/main" id="{00000000-0008-0000-0000-000002100000}"/>
            </a:ext>
          </a:extLst>
        </xdr:cNvPr>
        <xdr:cNvSpPr txBox="1">
          <a:spLocks noChangeArrowheads="1"/>
        </xdr:cNvSpPr>
      </xdr:nvSpPr>
      <xdr:spPr bwMode="auto">
        <a:xfrm>
          <a:off x="219075" y="33899475"/>
          <a:ext cx="3676650" cy="1409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Friction, f</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If the connection is dry steel, not lubricated approximately 40% of the total torque, Q is reacted by shear in the bolt. The remaining 60% of torque is balanced by friction.</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Ref: V.M. Faires, Design of Machine Elements, Pub. The Macmillan Company, New York.</a:t>
          </a:r>
        </a:p>
      </xdr:txBody>
    </xdr:sp>
    <xdr:clientData/>
  </xdr:twoCellAnchor>
  <xdr:twoCellAnchor>
    <xdr:from>
      <xdr:col>1</xdr:col>
      <xdr:colOff>9525</xdr:colOff>
      <xdr:row>29</xdr:row>
      <xdr:rowOff>38100</xdr:rowOff>
    </xdr:from>
    <xdr:to>
      <xdr:col>3</xdr:col>
      <xdr:colOff>847725</xdr:colOff>
      <xdr:row>47</xdr:row>
      <xdr:rowOff>114300</xdr:rowOff>
    </xdr:to>
    <xdr:sp macro="" textlink="">
      <xdr:nvSpPr>
        <xdr:cNvPr id="4099" name="Text Box 3">
          <a:extLst>
            <a:ext uri="{FF2B5EF4-FFF2-40B4-BE49-F238E27FC236}">
              <a16:creationId xmlns:a16="http://schemas.microsoft.com/office/drawing/2014/main" id="{00000000-0008-0000-0000-000003100000}"/>
            </a:ext>
          </a:extLst>
        </xdr:cNvPr>
        <xdr:cNvSpPr txBox="1">
          <a:spLocks noChangeArrowheads="1"/>
        </xdr:cNvSpPr>
      </xdr:nvSpPr>
      <xdr:spPr bwMode="auto">
        <a:xfrm>
          <a:off x="485775" y="4810125"/>
          <a:ext cx="2590800" cy="2990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cs typeface="Arial"/>
            </a:rPr>
            <a:t>BOLT FORCES AND GEOMETRY</a:t>
          </a:r>
        </a:p>
        <a:p>
          <a:pPr algn="l" rtl="0">
            <a:defRPr sz="1000"/>
          </a:pPr>
          <a:r>
            <a:rPr lang="en-US" sz="1000" b="0" i="0" u="none" strike="noStrike" baseline="0">
              <a:solidFill>
                <a:srgbClr val="000000"/>
              </a:solidFill>
              <a:latin typeface="Arial"/>
              <a:cs typeface="Arial"/>
            </a:rPr>
            <a:t>See illustration right.</a:t>
          </a:r>
        </a:p>
        <a:p>
          <a:pPr algn="l" rtl="0">
            <a:defRPr sz="1000"/>
          </a:pPr>
          <a:r>
            <a:rPr lang="en-US" sz="1000" b="0" i="0" u="none" strike="noStrike" baseline="0">
              <a:solidFill>
                <a:srgbClr val="000000"/>
              </a:solidFill>
              <a:latin typeface="Arial"/>
              <a:cs typeface="Arial"/>
            </a:rPr>
            <a:t>Fbp = Bolt pre-load tension force </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Fc = Compression force in plates</a:t>
          </a:r>
        </a:p>
        <a:p>
          <a:pPr algn="l" rtl="0">
            <a:defRPr sz="1000"/>
          </a:pPr>
          <a:r>
            <a:rPr lang="en-US" sz="1000" b="0" i="0" u="none" strike="noStrike" baseline="0">
              <a:solidFill>
                <a:srgbClr val="000000"/>
              </a:solidFill>
              <a:latin typeface="Arial"/>
              <a:cs typeface="Arial"/>
            </a:rPr>
            <a:t>Fe = External force required to separate joint</a:t>
          </a:r>
        </a:p>
        <a:p>
          <a:pPr algn="l" rtl="0">
            <a:defRPr sz="1000"/>
          </a:pPr>
          <a:r>
            <a:rPr lang="en-US" sz="1000" b="0" i="0" u="none" strike="noStrike" baseline="0">
              <a:solidFill>
                <a:srgbClr val="000000"/>
              </a:solidFill>
              <a:latin typeface="Arial"/>
              <a:cs typeface="Arial"/>
            </a:rPr>
            <a:t>D = Bolt diameter</a:t>
          </a:r>
        </a:p>
        <a:p>
          <a:pPr algn="l" rtl="0">
            <a:defRPr sz="1000"/>
          </a:pPr>
          <a:r>
            <a:rPr lang="en-US" sz="1000" b="0" i="0" u="none" strike="noStrike" baseline="0">
              <a:solidFill>
                <a:srgbClr val="000000"/>
              </a:solidFill>
              <a:latin typeface="Arial"/>
              <a:cs typeface="Arial"/>
            </a:rPr>
            <a:t>Dp = Bolt thread pitch diameter</a:t>
          </a:r>
        </a:p>
        <a:p>
          <a:pPr algn="l" rtl="0">
            <a:defRPr sz="1000"/>
          </a:pPr>
          <a:r>
            <a:rPr lang="en-US" sz="1000" b="0" i="0" u="none" strike="noStrike" baseline="0">
              <a:solidFill>
                <a:srgbClr val="000000"/>
              </a:solidFill>
              <a:latin typeface="Arial"/>
              <a:cs typeface="Arial"/>
            </a:rPr>
            <a:t>Dmin = Bolt thread root diameter</a:t>
          </a:r>
        </a:p>
        <a:p>
          <a:pPr algn="l" rtl="0">
            <a:defRPr sz="1000"/>
          </a:pPr>
          <a:r>
            <a:rPr lang="en-US" sz="1000" b="0" i="0" u="none" strike="noStrike" baseline="0">
              <a:solidFill>
                <a:srgbClr val="000000"/>
              </a:solidFill>
              <a:latin typeface="Arial"/>
              <a:cs typeface="Arial"/>
            </a:rPr>
            <a:t>Dh = Bolt hole diameter</a:t>
          </a:r>
        </a:p>
        <a:p>
          <a:pPr algn="l" rtl="0">
            <a:defRPr sz="1000"/>
          </a:pPr>
          <a:r>
            <a:rPr lang="en-US" sz="1000" b="0" i="0" u="none" strike="noStrike" baseline="0">
              <a:solidFill>
                <a:srgbClr val="000000"/>
              </a:solidFill>
              <a:latin typeface="Arial"/>
              <a:cs typeface="Arial"/>
            </a:rPr>
            <a:t>N = Number of bolts</a:t>
          </a:r>
        </a:p>
        <a:p>
          <a:pPr algn="l" rtl="0">
            <a:defRPr sz="1000"/>
          </a:pPr>
          <a:r>
            <a:rPr lang="en-US" sz="1000" b="0" i="0" u="none" strike="noStrike" baseline="0">
              <a:solidFill>
                <a:srgbClr val="000000"/>
              </a:solidFill>
              <a:latin typeface="Arial"/>
              <a:cs typeface="Arial"/>
            </a:rPr>
            <a:t>Lb = Unloaded bolt length </a:t>
          </a:r>
        </a:p>
        <a:p>
          <a:pPr algn="l" rtl="0">
            <a:defRPr sz="1000"/>
          </a:pPr>
          <a:r>
            <a:rPr lang="en-US" sz="1000" b="0" i="0" u="none" strike="noStrike" baseline="0">
              <a:solidFill>
                <a:srgbClr val="000000"/>
              </a:solidFill>
              <a:latin typeface="Arial"/>
              <a:cs typeface="Arial"/>
            </a:rPr>
            <a:t>P = Bolt thread pitch</a:t>
          </a:r>
        </a:p>
        <a:p>
          <a:pPr algn="l" rtl="0">
            <a:defRPr sz="1000"/>
          </a:pPr>
          <a:r>
            <a:rPr lang="en-US" sz="1000" b="0" i="0" u="none" strike="noStrike" baseline="0">
              <a:solidFill>
                <a:srgbClr val="000000"/>
              </a:solidFill>
              <a:latin typeface="Arial"/>
              <a:cs typeface="Arial"/>
            </a:rPr>
            <a:t>Xb = Bolt extension</a:t>
          </a:r>
        </a:p>
        <a:p>
          <a:pPr algn="l" rtl="0">
            <a:defRPr sz="1000"/>
          </a:pPr>
          <a:r>
            <a:rPr lang="en-US" sz="1000" b="0" i="0" u="none" strike="noStrike" baseline="0">
              <a:solidFill>
                <a:srgbClr val="000000"/>
              </a:solidFill>
              <a:latin typeface="Arial"/>
              <a:cs typeface="Arial"/>
            </a:rPr>
            <a:t>Xp = Plate compression</a:t>
          </a:r>
        </a:p>
        <a:p>
          <a:pPr algn="l" rtl="0">
            <a:defRPr sz="1000"/>
          </a:pPr>
          <a:r>
            <a:rPr lang="en-US" sz="1000" b="0" i="0" u="none" strike="noStrike" baseline="0">
              <a:solidFill>
                <a:srgbClr val="000000"/>
              </a:solidFill>
              <a:latin typeface="Arial"/>
              <a:cs typeface="Arial"/>
            </a:rPr>
            <a:t>Kb = Bolt stiffness</a:t>
          </a:r>
        </a:p>
        <a:p>
          <a:pPr algn="l" rtl="0">
            <a:defRPr sz="1000"/>
          </a:pPr>
          <a:r>
            <a:rPr lang="en-US" sz="1000" b="0" i="0" u="none" strike="noStrike" baseline="0">
              <a:solidFill>
                <a:srgbClr val="000000"/>
              </a:solidFill>
              <a:latin typeface="Arial"/>
              <a:cs typeface="Arial"/>
            </a:rPr>
            <a:t>Kp = Combined stiffness of plates</a:t>
          </a:r>
        </a:p>
        <a:p>
          <a:pPr algn="l" rtl="0">
            <a:defRPr sz="1000"/>
          </a:pPr>
          <a:r>
            <a:rPr lang="en-US" sz="1000" b="0" i="0" u="none" strike="noStrike" baseline="0">
              <a:solidFill>
                <a:srgbClr val="000000"/>
              </a:solidFill>
              <a:latin typeface="Arial"/>
              <a:cs typeface="Arial"/>
            </a:rPr>
            <a:t>Eb = Bolt modulus of elasticity </a:t>
          </a:r>
        </a:p>
        <a:p>
          <a:pPr algn="l" rtl="0">
            <a:defRPr sz="1000"/>
          </a:pPr>
          <a:r>
            <a:rPr lang="en-US" sz="1000" b="0" i="0" u="none" strike="noStrike" baseline="0">
              <a:solidFill>
                <a:srgbClr val="000000"/>
              </a:solidFill>
              <a:latin typeface="Arial"/>
              <a:cs typeface="Arial"/>
            </a:rPr>
            <a:t>Ep = Plate modulus of elasticity</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0</xdr:colOff>
      <xdr:row>86</xdr:row>
      <xdr:rowOff>57150</xdr:rowOff>
    </xdr:from>
    <xdr:to>
      <xdr:col>7</xdr:col>
      <xdr:colOff>600075</xdr:colOff>
      <xdr:row>99</xdr:row>
      <xdr:rowOff>9525</xdr:rowOff>
    </xdr:to>
    <xdr:sp macro="" textlink="">
      <xdr:nvSpPr>
        <xdr:cNvPr id="4101" name="Text Box 5">
          <a:extLst>
            <a:ext uri="{FF2B5EF4-FFF2-40B4-BE49-F238E27FC236}">
              <a16:creationId xmlns:a16="http://schemas.microsoft.com/office/drawing/2014/main" id="{00000000-0008-0000-0000-000005100000}"/>
            </a:ext>
          </a:extLst>
        </xdr:cNvPr>
        <xdr:cNvSpPr txBox="1">
          <a:spLocks noChangeArrowheads="1"/>
        </xdr:cNvSpPr>
      </xdr:nvSpPr>
      <xdr:spPr bwMode="auto">
        <a:xfrm>
          <a:off x="476250" y="14058900"/>
          <a:ext cx="5000625" cy="2057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external force that would cause the plates to separate, Fe or (CM) must stretch the bolt an additional Xp for a total bolt elongation of: Xb + Xp.</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Since triangles OAD and OBC are similar: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Fe / Fbp = (Xb + Xp) / Xb</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or  Fe  = Fbp * [(Xb + Xp) / Xb ] ---------------------------- (1)</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As long as the bolt and plates are elastic, they act as springs with stiffness K.</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Xb =Fbp / Kb and Xp = Fbp / Kp --------------------------- (2)</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1</xdr:col>
      <xdr:colOff>0</xdr:colOff>
      <xdr:row>54</xdr:row>
      <xdr:rowOff>19050</xdr:rowOff>
    </xdr:from>
    <xdr:to>
      <xdr:col>7</xdr:col>
      <xdr:colOff>590550</xdr:colOff>
      <xdr:row>65</xdr:row>
      <xdr:rowOff>9525</xdr:rowOff>
    </xdr:to>
    <xdr:sp macro="" textlink="">
      <xdr:nvSpPr>
        <xdr:cNvPr id="4102" name="Text Box 6">
          <a:extLst>
            <a:ext uri="{FF2B5EF4-FFF2-40B4-BE49-F238E27FC236}">
              <a16:creationId xmlns:a16="http://schemas.microsoft.com/office/drawing/2014/main" id="{00000000-0008-0000-0000-000006100000}"/>
            </a:ext>
          </a:extLst>
        </xdr:cNvPr>
        <xdr:cNvSpPr txBox="1">
          <a:spLocks noChangeArrowheads="1"/>
        </xdr:cNvSpPr>
      </xdr:nvSpPr>
      <xdr:spPr bwMode="auto">
        <a:xfrm>
          <a:off x="476250" y="8839200"/>
          <a:ext cx="4991100" cy="17716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1. ELASTIC ANALYSIS OF BOLTED JOINTS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As the bolt is tightened, the tension in the bolt increases, the plates compress, and the extension of the bolt increases. This is represented as line 0AC in the graph below.</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joint plates are compressed along line CA.</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If nut tightening is stopped at A, the preload tension in the bolt, Fbp will equal the compressive force on the connected plates.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At point A, bolt elongation is Xb and the compression of the plates is Xp. </a:t>
          </a:r>
        </a:p>
      </xdr:txBody>
    </xdr:sp>
    <xdr:clientData/>
  </xdr:twoCellAnchor>
  <xdr:twoCellAnchor>
    <xdr:from>
      <xdr:col>1</xdr:col>
      <xdr:colOff>28575</xdr:colOff>
      <xdr:row>105</xdr:row>
      <xdr:rowOff>9525</xdr:rowOff>
    </xdr:from>
    <xdr:to>
      <xdr:col>7</xdr:col>
      <xdr:colOff>590550</xdr:colOff>
      <xdr:row>122</xdr:row>
      <xdr:rowOff>95250</xdr:rowOff>
    </xdr:to>
    <xdr:sp macro="" textlink="">
      <xdr:nvSpPr>
        <xdr:cNvPr id="4103" name="Text Box 7">
          <a:extLst>
            <a:ext uri="{FF2B5EF4-FFF2-40B4-BE49-F238E27FC236}">
              <a16:creationId xmlns:a16="http://schemas.microsoft.com/office/drawing/2014/main" id="{00000000-0008-0000-0000-000007100000}"/>
            </a:ext>
          </a:extLst>
        </xdr:cNvPr>
        <xdr:cNvSpPr txBox="1">
          <a:spLocks noChangeArrowheads="1"/>
        </xdr:cNvSpPr>
      </xdr:nvSpPr>
      <xdr:spPr bwMode="auto">
        <a:xfrm>
          <a:off x="504825" y="17087850"/>
          <a:ext cx="4962525" cy="2838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Substituting (2) in (1):</a:t>
          </a:r>
        </a:p>
        <a:p>
          <a:pPr algn="l" rtl="0">
            <a:defRPr sz="1000"/>
          </a:pPr>
          <a:r>
            <a:rPr lang="en-US" sz="1000" b="0" i="0" strike="noStrike">
              <a:solidFill>
                <a:srgbClr val="000000"/>
              </a:solidFill>
              <a:latin typeface="Arial"/>
              <a:cs typeface="Arial"/>
            </a:rPr>
            <a:t>                                     Fe = Fb * (Kb + Kp) / Kp</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or    Fb = Fe * Kp / (Kb + Kp) -------------------------------------- (3)</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Stiffness of Plates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Plate effective diameter, Dp = 1.5 * Bd --------------------------------------------------------- (4)</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Combined stiffness of 3 plates: 1 / Kp = 1 / K1 + 1 / K2 + 1 / K3</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Combined plate stiffness: Kp = Ep * Ap / Lp</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Compression due to preload in joint plates, Fc = Kp * Xp ------------------------------- (5)</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nut is turned until bolt tension, Fe is equal to the load required to separate the joint plates.</a:t>
          </a:r>
        </a:p>
      </xdr:txBody>
    </xdr:sp>
    <xdr:clientData/>
  </xdr:twoCellAnchor>
  <xdr:twoCellAnchor>
    <xdr:from>
      <xdr:col>1</xdr:col>
      <xdr:colOff>28575</xdr:colOff>
      <xdr:row>166</xdr:row>
      <xdr:rowOff>57150</xdr:rowOff>
    </xdr:from>
    <xdr:to>
      <xdr:col>7</xdr:col>
      <xdr:colOff>561975</xdr:colOff>
      <xdr:row>171</xdr:row>
      <xdr:rowOff>28575</xdr:rowOff>
    </xdr:to>
    <xdr:sp macro="" textlink="">
      <xdr:nvSpPr>
        <xdr:cNvPr id="4110" name="Text Box 14">
          <a:extLst>
            <a:ext uri="{FF2B5EF4-FFF2-40B4-BE49-F238E27FC236}">
              <a16:creationId xmlns:a16="http://schemas.microsoft.com/office/drawing/2014/main" id="{00000000-0008-0000-0000-00000E100000}"/>
            </a:ext>
          </a:extLst>
        </xdr:cNvPr>
        <xdr:cNvSpPr txBox="1">
          <a:spLocks noChangeArrowheads="1"/>
        </xdr:cNvSpPr>
      </xdr:nvSpPr>
      <xdr:spPr bwMode="auto">
        <a:xfrm>
          <a:off x="504825" y="27098625"/>
          <a:ext cx="4933950" cy="781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2. NUT TORQUE DUE TO FRICTION AND BOLT TENSION</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An alternate analysis of bolted joints is summarized below. Bolt tension is estimated based on the torque applied to the nut.</a:t>
          </a:r>
        </a:p>
      </xdr:txBody>
    </xdr:sp>
    <xdr:clientData/>
  </xdr:twoCellAnchor>
  <xdr:twoCellAnchor editAs="oneCell">
    <xdr:from>
      <xdr:col>2</xdr:col>
      <xdr:colOff>561975</xdr:colOff>
      <xdr:row>172</xdr:row>
      <xdr:rowOff>0</xdr:rowOff>
    </xdr:from>
    <xdr:to>
      <xdr:col>3</xdr:col>
      <xdr:colOff>1038225</xdr:colOff>
      <xdr:row>184</xdr:row>
      <xdr:rowOff>104775</xdr:rowOff>
    </xdr:to>
    <xdr:pic>
      <xdr:nvPicPr>
        <xdr:cNvPr id="11577" name="Picture 16" descr="Q6-TENSION-1-BOLT">
          <a:extLst>
            <a:ext uri="{FF2B5EF4-FFF2-40B4-BE49-F238E27FC236}">
              <a16:creationId xmlns:a16="http://schemas.microsoft.com/office/drawing/2014/main" id="{00000000-0008-0000-0000-0000392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825" y="28079700"/>
          <a:ext cx="16192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457200</xdr:colOff>
      <xdr:row>66</xdr:row>
      <xdr:rowOff>85725</xdr:rowOff>
    </xdr:from>
    <xdr:to>
      <xdr:col>5</xdr:col>
      <xdr:colOff>247650</xdr:colOff>
      <xdr:row>83</xdr:row>
      <xdr:rowOff>133350</xdr:rowOff>
    </xdr:to>
    <xdr:pic>
      <xdr:nvPicPr>
        <xdr:cNvPr id="11578" name="Picture 20" descr="BOLT-LOAD-DIAGRAM">
          <a:extLst>
            <a:ext uri="{FF2B5EF4-FFF2-40B4-BE49-F238E27FC236}">
              <a16:creationId xmlns:a16="http://schemas.microsoft.com/office/drawing/2014/main" id="{00000000-0008-0000-0000-00003A2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10848975"/>
          <a:ext cx="3486150"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1009650</xdr:colOff>
      <xdr:row>29</xdr:row>
      <xdr:rowOff>76200</xdr:rowOff>
    </xdr:from>
    <xdr:to>
      <xdr:col>7</xdr:col>
      <xdr:colOff>581025</xdr:colOff>
      <xdr:row>47</xdr:row>
      <xdr:rowOff>57150</xdr:rowOff>
    </xdr:to>
    <xdr:pic>
      <xdr:nvPicPr>
        <xdr:cNvPr id="11579" name="Picture 22" descr="SCREW-THREAD-1">
          <a:extLst>
            <a:ext uri="{FF2B5EF4-FFF2-40B4-BE49-F238E27FC236}">
              <a16:creationId xmlns:a16="http://schemas.microsoft.com/office/drawing/2014/main" id="{00000000-0008-0000-0000-00003B2D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38500" y="4848225"/>
          <a:ext cx="2724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14</xdr:row>
      <xdr:rowOff>152400</xdr:rowOff>
    </xdr:from>
    <xdr:to>
      <xdr:col>7</xdr:col>
      <xdr:colOff>428625</xdr:colOff>
      <xdr:row>28</xdr:row>
      <xdr:rowOff>114299</xdr:rowOff>
    </xdr:to>
    <xdr:sp macro="" textlink="">
      <xdr:nvSpPr>
        <xdr:cNvPr id="4119" name="Text Box 23">
          <a:extLst>
            <a:ext uri="{FF2B5EF4-FFF2-40B4-BE49-F238E27FC236}">
              <a16:creationId xmlns:a16="http://schemas.microsoft.com/office/drawing/2014/main" id="{00000000-0008-0000-0000-000017100000}"/>
            </a:ext>
          </a:extLst>
        </xdr:cNvPr>
        <xdr:cNvSpPr txBox="1">
          <a:spLocks noChangeArrowheads="1"/>
        </xdr:cNvSpPr>
      </xdr:nvSpPr>
      <xdr:spPr bwMode="auto">
        <a:xfrm>
          <a:off x="466725" y="2495550"/>
          <a:ext cx="5343525" cy="222884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cs typeface="Arial"/>
            </a:rPr>
            <a:t>ANALYSIS OF BOLTED JOINTS</a:t>
          </a:r>
        </a:p>
        <a:p>
          <a:pPr algn="l" rtl="0">
            <a:defRPr sz="1000"/>
          </a:pP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bolts pictured above are used to secure the cover plate to the pipe flange. Pressure in the pipe is resisted by tension in the bolts. A gasket or O-ring is usually inserted between the two plates.</a:t>
          </a:r>
        </a:p>
        <a:p>
          <a:pPr algn="l" rtl="0">
            <a:defRPr sz="1000"/>
          </a:pP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There are four</a:t>
          </a:r>
          <a:r>
            <a:rPr lang="en-US" sz="1000" b="1" i="0" u="none" strike="noStrike" baseline="0">
              <a:solidFill>
                <a:srgbClr val="000000"/>
              </a:solidFill>
              <a:latin typeface="Arial"/>
              <a:cs typeface="Arial"/>
            </a:rPr>
            <a:t> </a:t>
          </a:r>
          <a:r>
            <a:rPr lang="en-US" sz="1000" b="0" i="0" u="none" strike="noStrike" baseline="0">
              <a:solidFill>
                <a:srgbClr val="000000"/>
              </a:solidFill>
              <a:latin typeface="Arial"/>
              <a:cs typeface="Arial"/>
            </a:rPr>
            <a:t>methods in use for the analysis of bolted connections: elastic force balance, friction between nut and plate, turns of the nut, and allowable nut torque.  Each of the methods must result in maintaining zero leakage and loss of pressure.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Each of the four methods of understanding and controlling bolted joint performance is outlined below. However fatigue loading is not considered.                                                                                             						F.E.A. is illustated in a separate spreadsheet. Click F.E.A. tab below.</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9525</xdr:colOff>
      <xdr:row>240</xdr:row>
      <xdr:rowOff>76200</xdr:rowOff>
    </xdr:from>
    <xdr:to>
      <xdr:col>5</xdr:col>
      <xdr:colOff>114300</xdr:colOff>
      <xdr:row>251</xdr:row>
      <xdr:rowOff>133350</xdr:rowOff>
    </xdr:to>
    <xdr:sp macro="" textlink="">
      <xdr:nvSpPr>
        <xdr:cNvPr id="4120" name="Text Box 24">
          <a:extLst>
            <a:ext uri="{FF2B5EF4-FFF2-40B4-BE49-F238E27FC236}">
              <a16:creationId xmlns:a16="http://schemas.microsoft.com/office/drawing/2014/main" id="{00000000-0008-0000-0000-000018100000}"/>
            </a:ext>
          </a:extLst>
        </xdr:cNvPr>
        <xdr:cNvSpPr txBox="1">
          <a:spLocks noChangeArrowheads="1"/>
        </xdr:cNvSpPr>
      </xdr:nvSpPr>
      <xdr:spPr bwMode="auto">
        <a:xfrm>
          <a:off x="485775" y="39195375"/>
          <a:ext cx="3800475" cy="18383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3. BOLT TENSION DUE TO TURNS OF THE NUT</a:t>
          </a:r>
        </a:p>
        <a:p>
          <a:pPr algn="l" rtl="0">
            <a:defRPr sz="1000"/>
          </a:pPr>
          <a:r>
            <a:rPr lang="en-US" sz="1000" b="0" i="0" strike="noStrike">
              <a:solidFill>
                <a:srgbClr val="000000"/>
              </a:solidFill>
              <a:latin typeface="Arial"/>
              <a:cs typeface="Arial"/>
            </a:rPr>
            <a:t>Xb = Bolt extension due to turns of the nut</a:t>
          </a:r>
        </a:p>
        <a:p>
          <a:pPr algn="l" rtl="0">
            <a:defRPr sz="1000"/>
          </a:pPr>
          <a:r>
            <a:rPr lang="en-US" sz="1000" b="0" i="0" strike="noStrike">
              <a:solidFill>
                <a:srgbClr val="000000"/>
              </a:solidFill>
              <a:latin typeface="Arial"/>
              <a:cs typeface="Arial"/>
            </a:rPr>
            <a:t>Xp = Combined plate compression due to turns of the nut</a:t>
          </a:r>
        </a:p>
        <a:p>
          <a:pPr algn="l" rtl="0">
            <a:defRPr sz="1000"/>
          </a:pPr>
          <a:r>
            <a:rPr lang="en-US" sz="1000" b="0" i="0" strike="noStrike">
              <a:solidFill>
                <a:srgbClr val="000000"/>
              </a:solidFill>
              <a:latin typeface="Arial"/>
              <a:cs typeface="Arial"/>
            </a:rPr>
            <a:t>Xt = Total bolt extension</a:t>
          </a:r>
        </a:p>
        <a:p>
          <a:pPr algn="l" rtl="0">
            <a:defRPr sz="1000"/>
          </a:pPr>
          <a:r>
            <a:rPr lang="en-US" sz="1000" b="0" i="0" strike="noStrike">
              <a:solidFill>
                <a:srgbClr val="000000"/>
              </a:solidFill>
              <a:latin typeface="Arial"/>
              <a:cs typeface="Arial"/>
            </a:rPr>
            <a:t>TPI = Bolt thread pitch, turns per inch</a:t>
          </a:r>
        </a:p>
        <a:p>
          <a:pPr algn="l" rtl="0">
            <a:defRPr sz="1000"/>
          </a:pPr>
          <a:r>
            <a:rPr lang="en-US" sz="1000" b="0" i="0" strike="noStrike">
              <a:solidFill>
                <a:srgbClr val="000000"/>
              </a:solidFill>
              <a:latin typeface="Arial"/>
              <a:cs typeface="Arial"/>
            </a:rPr>
            <a:t>P = 1 / TPI = Thread pitch</a:t>
          </a:r>
        </a:p>
        <a:p>
          <a:pPr algn="l" rtl="0">
            <a:defRPr sz="1000"/>
          </a:pPr>
          <a:r>
            <a:rPr lang="en-US" sz="1000" b="0" i="0" strike="noStrike">
              <a:solidFill>
                <a:srgbClr val="000000"/>
              </a:solidFill>
              <a:latin typeface="Arial"/>
              <a:cs typeface="Arial"/>
            </a:rPr>
            <a:t>N = Number of 360 degree turns of the nut</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Turns of the nut,  N = Xt * TPI</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calculations below are based on the elastic analysis above.</a:t>
          </a:r>
        </a:p>
      </xdr:txBody>
    </xdr:sp>
    <xdr:clientData/>
  </xdr:twoCellAnchor>
  <xdr:twoCellAnchor editAs="oneCell">
    <xdr:from>
      <xdr:col>0</xdr:col>
      <xdr:colOff>95250</xdr:colOff>
      <xdr:row>258</xdr:row>
      <xdr:rowOff>133350</xdr:rowOff>
    </xdr:from>
    <xdr:to>
      <xdr:col>3</xdr:col>
      <xdr:colOff>1066800</xdr:colOff>
      <xdr:row>274</xdr:row>
      <xdr:rowOff>114300</xdr:rowOff>
    </xdr:to>
    <xdr:pic>
      <xdr:nvPicPr>
        <xdr:cNvPr id="11582" name="Picture 25" descr="BOLT-LOAD-DIAGRAM">
          <a:extLst>
            <a:ext uri="{FF2B5EF4-FFF2-40B4-BE49-F238E27FC236}">
              <a16:creationId xmlns:a16="http://schemas.microsoft.com/office/drawing/2014/main" id="{00000000-0008-0000-0000-00003E2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42195750"/>
          <a:ext cx="3200400"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1123950</xdr:colOff>
      <xdr:row>258</xdr:row>
      <xdr:rowOff>142875</xdr:rowOff>
    </xdr:from>
    <xdr:to>
      <xdr:col>7</xdr:col>
      <xdr:colOff>581025</xdr:colOff>
      <xdr:row>276</xdr:row>
      <xdr:rowOff>9525</xdr:rowOff>
    </xdr:to>
    <xdr:pic>
      <xdr:nvPicPr>
        <xdr:cNvPr id="11583" name="Picture 26" descr="SCREW-THREAD-1">
          <a:extLst>
            <a:ext uri="{FF2B5EF4-FFF2-40B4-BE49-F238E27FC236}">
              <a16:creationId xmlns:a16="http://schemas.microsoft.com/office/drawing/2014/main" id="{00000000-0008-0000-0000-00003F2D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2800" y="42205275"/>
          <a:ext cx="2609850"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325</xdr:row>
      <xdr:rowOff>76200</xdr:rowOff>
    </xdr:from>
    <xdr:to>
      <xdr:col>7</xdr:col>
      <xdr:colOff>590550</xdr:colOff>
      <xdr:row>343</xdr:row>
      <xdr:rowOff>47625</xdr:rowOff>
    </xdr:to>
    <xdr:sp macro="" textlink="">
      <xdr:nvSpPr>
        <xdr:cNvPr id="4123" name="Text Box 27">
          <a:extLst>
            <a:ext uri="{FF2B5EF4-FFF2-40B4-BE49-F238E27FC236}">
              <a16:creationId xmlns:a16="http://schemas.microsoft.com/office/drawing/2014/main" id="{00000000-0008-0000-0000-00001B100000}"/>
            </a:ext>
          </a:extLst>
        </xdr:cNvPr>
        <xdr:cNvSpPr txBox="1">
          <a:spLocks noChangeArrowheads="1"/>
        </xdr:cNvSpPr>
      </xdr:nvSpPr>
      <xdr:spPr bwMode="auto">
        <a:xfrm>
          <a:off x="485775" y="53006625"/>
          <a:ext cx="4981575" cy="2886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CONCLUSION</a:t>
          </a:r>
        </a:p>
        <a:p>
          <a:pPr algn="l" rtl="0">
            <a:defRPr sz="1000"/>
          </a:pPr>
          <a:endParaRPr lang="en-US" sz="1000" b="1"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nut is turned enough to bring the plates together with zero clearance and near zero tension in the bolt. This is called "snugging" the plates together.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Next the nut is turned until bolt tension, Fe is equal to the load required to separate the joint plates.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calculation above shows that if the nut turns 2.5 degrees further than snug, the preload in the bolt will be 4000 lbs and the total bolt tension at joint separation will be 7866 lbs.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If the nut rotates double 2.5 that is 5 degrees, the total bolt tension at separation will also be double, 15732 lbs.</a:t>
          </a:r>
        </a:p>
        <a:p>
          <a:pPr algn="l" rtl="0">
            <a:defRPr sz="1000"/>
          </a:pPr>
          <a:endParaRPr lang="en-US" sz="1000" b="0" i="0" strike="noStrike">
            <a:solidFill>
              <a:srgbClr val="000000"/>
            </a:solidFill>
            <a:latin typeface="Arial"/>
            <a:cs typeface="Arial"/>
          </a:endParaRPr>
        </a:p>
        <a:p>
          <a:pPr algn="l" rtl="0">
            <a:defRPr sz="1000"/>
          </a:pPr>
          <a:r>
            <a:rPr lang="en-US" sz="1000" b="0" i="0" u="sng" strike="noStrike">
              <a:solidFill>
                <a:srgbClr val="000000"/>
              </a:solidFill>
              <a:latin typeface="Arial"/>
              <a:cs typeface="Arial"/>
            </a:rPr>
            <a:t>For this reason the nut rotation method is considered to be unreliable, difficult to control, and unsafe.</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1</xdr:col>
      <xdr:colOff>0</xdr:colOff>
      <xdr:row>344</xdr:row>
      <xdr:rowOff>85725</xdr:rowOff>
    </xdr:from>
    <xdr:to>
      <xdr:col>7</xdr:col>
      <xdr:colOff>590550</xdr:colOff>
      <xdr:row>353</xdr:row>
      <xdr:rowOff>152400</xdr:rowOff>
    </xdr:to>
    <xdr:sp macro="" textlink="">
      <xdr:nvSpPr>
        <xdr:cNvPr id="4124" name="Text Box 28">
          <a:extLst>
            <a:ext uri="{FF2B5EF4-FFF2-40B4-BE49-F238E27FC236}">
              <a16:creationId xmlns:a16="http://schemas.microsoft.com/office/drawing/2014/main" id="{00000000-0008-0000-0000-00001C100000}"/>
            </a:ext>
          </a:extLst>
        </xdr:cNvPr>
        <xdr:cNvSpPr txBox="1">
          <a:spLocks noChangeArrowheads="1"/>
        </xdr:cNvSpPr>
      </xdr:nvSpPr>
      <xdr:spPr bwMode="auto">
        <a:xfrm>
          <a:off x="476250" y="56092725"/>
          <a:ext cx="4991100" cy="1524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4. BOLT TORQUE METHOD</a:t>
          </a:r>
        </a:p>
        <a:p>
          <a:pPr algn="l" rtl="0">
            <a:defRPr sz="1000"/>
          </a:pPr>
          <a:r>
            <a:rPr lang="en-US" sz="1000" b="0" i="0" strike="noStrike">
              <a:solidFill>
                <a:srgbClr val="000000"/>
              </a:solidFill>
              <a:latin typeface="Arial"/>
              <a:cs typeface="Arial"/>
            </a:rPr>
            <a:t>Many tests have been published listing the allowable torque for a wide range of bolt materials and sizes. Most bolted assemblies manufactured today are done with a torque wrench and rely on the accuracy of these test results.</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CONCLUSION</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torque test conditions must be duplicated in each joint assembled to achieve safe bolted connections.</a:t>
          </a: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466725</xdr:colOff>
      <xdr:row>362</xdr:row>
      <xdr:rowOff>57151</xdr:rowOff>
    </xdr:from>
    <xdr:to>
      <xdr:col>7</xdr:col>
      <xdr:colOff>590550</xdr:colOff>
      <xdr:row>375</xdr:row>
      <xdr:rowOff>9526</xdr:rowOff>
    </xdr:to>
    <xdr:sp macro="" textlink="">
      <xdr:nvSpPr>
        <xdr:cNvPr id="4125" name="Text Box 29">
          <a:extLst>
            <a:ext uri="{FF2B5EF4-FFF2-40B4-BE49-F238E27FC236}">
              <a16:creationId xmlns:a16="http://schemas.microsoft.com/office/drawing/2014/main" id="{00000000-0008-0000-0000-00001D100000}"/>
            </a:ext>
          </a:extLst>
        </xdr:cNvPr>
        <xdr:cNvSpPr txBox="1">
          <a:spLocks noChangeArrowheads="1"/>
        </xdr:cNvSpPr>
      </xdr:nvSpPr>
      <xdr:spPr bwMode="auto">
        <a:xfrm>
          <a:off x="466725" y="59016901"/>
          <a:ext cx="5505450" cy="2057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sz="1000" b="1" i="0" strike="noStrike">
              <a:solidFill>
                <a:srgbClr val="000000"/>
              </a:solidFill>
              <a:latin typeface="Arial"/>
              <a:cs typeface="Arial"/>
            </a:rPr>
            <a:t>RELATED LINKS</a:t>
          </a:r>
        </a:p>
        <a:p>
          <a:pPr algn="l" rtl="0">
            <a:lnSpc>
              <a:spcPts val="1100"/>
            </a:lnSpc>
            <a:defRPr sz="1000"/>
          </a:pPr>
          <a:endParaRPr lang="en-US" sz="1000" b="1" i="0" strike="noStrike">
            <a:solidFill>
              <a:srgbClr val="000000"/>
            </a:solidFill>
            <a:latin typeface="Arial"/>
            <a:cs typeface="Arial"/>
          </a:endParaRPr>
        </a:p>
        <a:p>
          <a:pPr algn="l" rtl="0">
            <a:lnSpc>
              <a:spcPts val="1100"/>
            </a:lnSpc>
            <a:defRPr sz="1000"/>
          </a:pPr>
          <a:r>
            <a:rPr lang="en-US" sz="1000" b="1" i="0" strike="noStrike">
              <a:solidFill>
                <a:srgbClr val="000000"/>
              </a:solidFill>
              <a:latin typeface="Arial"/>
              <a:cs typeface="Arial"/>
            </a:rPr>
            <a:t>1. Allowable torque for U.S.S / S.A.E. bolts:</a:t>
          </a:r>
        </a:p>
        <a:p>
          <a:pPr algn="l" rtl="0">
            <a:lnSpc>
              <a:spcPts val="1100"/>
            </a:lnSpc>
            <a:defRPr sz="1000"/>
          </a:pPr>
          <a:r>
            <a:rPr lang="en-US" sz="1000" b="1" i="0" strike="noStrike">
              <a:solidFill>
                <a:srgbClr val="000000"/>
              </a:solidFill>
              <a:latin typeface="Arial"/>
              <a:cs typeface="Arial"/>
            </a:rPr>
            <a:t>http://www.angelfire.com/fl4/pontiacdude428/Bolt.html</a:t>
          </a:r>
        </a:p>
        <a:p>
          <a:pPr algn="l" rtl="0">
            <a:lnSpc>
              <a:spcPts val="1100"/>
            </a:lnSpc>
            <a:defRPr sz="1000"/>
          </a:pPr>
          <a:endParaRPr lang="en-US" sz="1000" b="1" i="0" strike="noStrike">
            <a:solidFill>
              <a:srgbClr val="000000"/>
            </a:solidFill>
            <a:latin typeface="Arial"/>
            <a:cs typeface="Arial"/>
          </a:endParaRPr>
        </a:p>
        <a:p>
          <a:pPr algn="l" rtl="0">
            <a:lnSpc>
              <a:spcPts val="1100"/>
            </a:lnSpc>
            <a:defRPr sz="1000"/>
          </a:pPr>
          <a:r>
            <a:rPr lang="en-US" sz="1000" b="1" i="0" strike="noStrike">
              <a:solidFill>
                <a:srgbClr val="000000"/>
              </a:solidFill>
              <a:latin typeface="Arial"/>
              <a:cs typeface="Arial"/>
            </a:rPr>
            <a:t>2. Allowable torque for S.A.E. bolts: http://www.engineersedge.com/torque_table_sae.htm</a:t>
          </a:r>
        </a:p>
        <a:p>
          <a:pPr algn="l" rtl="0">
            <a:lnSpc>
              <a:spcPts val="1100"/>
            </a:lnSpc>
            <a:defRPr sz="1000"/>
          </a:pPr>
          <a:endParaRPr lang="en-US" sz="1000" b="1" i="0" strike="noStrike">
            <a:solidFill>
              <a:srgbClr val="000000"/>
            </a:solidFill>
            <a:latin typeface="Arial"/>
            <a:cs typeface="Arial"/>
          </a:endParaRPr>
        </a:p>
        <a:p>
          <a:pPr algn="l" rtl="0">
            <a:lnSpc>
              <a:spcPts val="1100"/>
            </a:lnSpc>
            <a:defRPr sz="1000"/>
          </a:pPr>
          <a:r>
            <a:rPr lang="en-US" sz="1000" b="1" i="0" strike="noStrike">
              <a:solidFill>
                <a:srgbClr val="000000"/>
              </a:solidFill>
              <a:latin typeface="Arial"/>
              <a:cs typeface="Arial"/>
            </a:rPr>
            <a:t>3. Allowable torque for S.A.E. bolts: http://www.raskcycle.com/techtip/webdoc14.html</a:t>
          </a:r>
        </a:p>
        <a:p>
          <a:pPr algn="l" rtl="0">
            <a:lnSpc>
              <a:spcPts val="1100"/>
            </a:lnSpc>
            <a:defRPr sz="1000"/>
          </a:pPr>
          <a:endParaRPr lang="en-US" sz="1000" b="1" i="0" strike="noStrike">
            <a:solidFill>
              <a:srgbClr val="000000"/>
            </a:solidFill>
            <a:latin typeface="Arial"/>
            <a:cs typeface="Arial"/>
          </a:endParaRPr>
        </a:p>
        <a:p>
          <a:pPr algn="l" rtl="0">
            <a:lnSpc>
              <a:spcPts val="1100"/>
            </a:lnSpc>
            <a:defRPr sz="1000"/>
          </a:pPr>
          <a:r>
            <a:rPr lang="en-US" sz="1000" b="1" i="0" strike="noStrike">
              <a:solidFill>
                <a:srgbClr val="000000"/>
              </a:solidFill>
              <a:latin typeface="Arial"/>
              <a:cs typeface="Arial"/>
            </a:rPr>
            <a:t>4. Bolt torque calculator: http://www.engineersedge.com/calculators/torque_calc.htm</a:t>
          </a:r>
        </a:p>
        <a:p>
          <a:pPr algn="l" rtl="0">
            <a:lnSpc>
              <a:spcPts val="1100"/>
            </a:lnSpc>
            <a:defRPr sz="1000"/>
          </a:pPr>
          <a:endParaRPr lang="en-US" sz="1000" b="1" i="0" strike="noStrike">
            <a:solidFill>
              <a:srgbClr val="000000"/>
            </a:solidFill>
            <a:latin typeface="Arial"/>
            <a:cs typeface="Arial"/>
          </a:endParaRPr>
        </a:p>
        <a:p>
          <a:pPr algn="l" rtl="0">
            <a:lnSpc>
              <a:spcPts val="1100"/>
            </a:lnSpc>
            <a:defRPr sz="1000"/>
          </a:pPr>
          <a:r>
            <a:rPr lang="en-US" sz="1000" b="1" i="0" strike="noStrike">
              <a:solidFill>
                <a:srgbClr val="000000"/>
              </a:solidFill>
              <a:latin typeface="Arial"/>
              <a:cs typeface="Arial"/>
            </a:rPr>
            <a:t>5. Bolt torque calculator: http://www.futek.com/boltcalc.aspx</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xdr:txBody>
    </xdr:sp>
    <xdr:clientData/>
  </xdr:twoCellAnchor>
  <xdr:twoCellAnchor editAs="oneCell">
    <xdr:from>
      <xdr:col>1</xdr:col>
      <xdr:colOff>466725</xdr:colOff>
      <xdr:row>3</xdr:row>
      <xdr:rowOff>133350</xdr:rowOff>
    </xdr:from>
    <xdr:to>
      <xdr:col>6</xdr:col>
      <xdr:colOff>162485</xdr:colOff>
      <xdr:row>14</xdr:row>
      <xdr:rowOff>230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942975" y="695325"/>
          <a:ext cx="4010585" cy="1648055"/>
        </a:xfrm>
        <a:prstGeom prst="rect">
          <a:avLst/>
        </a:prstGeom>
      </xdr:spPr>
    </xdr:pic>
    <xdr:clientData/>
  </xdr:twoCellAnchor>
  <xdr:twoCellAnchor editAs="oneCell">
    <xdr:from>
      <xdr:col>4</xdr:col>
      <xdr:colOff>447675</xdr:colOff>
      <xdr:row>152</xdr:row>
      <xdr:rowOff>47625</xdr:rowOff>
    </xdr:from>
    <xdr:to>
      <xdr:col>8</xdr:col>
      <xdr:colOff>190800</xdr:colOff>
      <xdr:row>161</xdr:row>
      <xdr:rowOff>114515</xdr:rowOff>
    </xdr:to>
    <xdr:pic>
      <xdr:nvPicPr>
        <xdr:cNvPr id="3" name="Picture 2">
          <a:extLst>
            <a:ext uri="{FF2B5EF4-FFF2-40B4-BE49-F238E27FC236}">
              <a16:creationId xmlns:a16="http://schemas.microsoft.com/office/drawing/2014/main" id="{A1BE86B3-AFFD-4C31-E994-02901C6384AF}"/>
            </a:ext>
          </a:extLst>
        </xdr:cNvPr>
        <xdr:cNvPicPr>
          <a:picLocks noChangeAspect="1"/>
        </xdr:cNvPicPr>
      </xdr:nvPicPr>
      <xdr:blipFill>
        <a:blip xmlns:r="http://schemas.openxmlformats.org/officeDocument/2006/relationships" r:embed="rId5"/>
        <a:stretch>
          <a:fillRect/>
        </a:stretch>
      </xdr:blipFill>
      <xdr:spPr>
        <a:xfrm>
          <a:off x="4086225" y="24888825"/>
          <a:ext cx="2152950" cy="1543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146</xdr:row>
      <xdr:rowOff>19050</xdr:rowOff>
    </xdr:from>
    <xdr:to>
      <xdr:col>6</xdr:col>
      <xdr:colOff>885825</xdr:colOff>
      <xdr:row>149</xdr:row>
      <xdr:rowOff>76200</xdr:rowOff>
    </xdr:to>
    <xdr:sp macro="" textlink="">
      <xdr:nvSpPr>
        <xdr:cNvPr id="1034" name="Text Box 10">
          <a:extLst>
            <a:ext uri="{FF2B5EF4-FFF2-40B4-BE49-F238E27FC236}">
              <a16:creationId xmlns:a16="http://schemas.microsoft.com/office/drawing/2014/main" id="{00000000-0008-0000-0100-00000A040000}"/>
            </a:ext>
          </a:extLst>
        </xdr:cNvPr>
        <xdr:cNvSpPr txBox="1">
          <a:spLocks noChangeArrowheads="1"/>
        </xdr:cNvSpPr>
      </xdr:nvSpPr>
      <xdr:spPr bwMode="auto">
        <a:xfrm>
          <a:off x="638175" y="23907750"/>
          <a:ext cx="4457700" cy="5429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Lap Joint - Double Shear</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Top and bottom plate thicknesses must be 1/2 center plate thickness or greater, see above.</a:t>
          </a:r>
        </a:p>
      </xdr:txBody>
    </xdr:sp>
    <xdr:clientData/>
  </xdr:twoCellAnchor>
  <xdr:twoCellAnchor>
    <xdr:from>
      <xdr:col>1</xdr:col>
      <xdr:colOff>47625</xdr:colOff>
      <xdr:row>193</xdr:row>
      <xdr:rowOff>0</xdr:rowOff>
    </xdr:from>
    <xdr:to>
      <xdr:col>7</xdr:col>
      <xdr:colOff>9525</xdr:colOff>
      <xdr:row>199</xdr:row>
      <xdr:rowOff>85725</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657225" y="31670625"/>
          <a:ext cx="4457700" cy="10572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Lap Joint - Single Shear - Multiple Bolts</a:t>
          </a:r>
        </a:p>
        <a:p>
          <a:pPr algn="l" rtl="0">
            <a:defRPr sz="1000"/>
          </a:pPr>
          <a:r>
            <a:rPr lang="en-US" sz="1000" b="0" i="0" strike="noStrike">
              <a:solidFill>
                <a:srgbClr val="000000"/>
              </a:solidFill>
              <a:latin typeface="Arial"/>
              <a:cs typeface="Arial"/>
            </a:rPr>
            <a:t>Bolt holes are larger than bolt diameters. If there are two or more bolts in the connection, the total load will not be equally distributed to the bolts due to bolt/hole miss-alignment. Assuming zero friction, there will be zero resistance to the load until one or more of the bolts come in contact with a hole in one of the plates.  </a:t>
          </a:r>
        </a:p>
      </xdr:txBody>
    </xdr:sp>
    <xdr:clientData/>
  </xdr:twoCellAnchor>
  <xdr:twoCellAnchor>
    <xdr:from>
      <xdr:col>1</xdr:col>
      <xdr:colOff>19050</xdr:colOff>
      <xdr:row>492</xdr:row>
      <xdr:rowOff>19050</xdr:rowOff>
    </xdr:from>
    <xdr:to>
      <xdr:col>7</xdr:col>
      <xdr:colOff>19050</xdr:colOff>
      <xdr:row>501</xdr:row>
      <xdr:rowOff>123825</xdr:rowOff>
    </xdr:to>
    <xdr:sp macro="" textlink="">
      <xdr:nvSpPr>
        <xdr:cNvPr id="1044" name="Text Box 20">
          <a:extLst>
            <a:ext uri="{FF2B5EF4-FFF2-40B4-BE49-F238E27FC236}">
              <a16:creationId xmlns:a16="http://schemas.microsoft.com/office/drawing/2014/main" id="{00000000-0008-0000-0100-000014040000}"/>
            </a:ext>
          </a:extLst>
        </xdr:cNvPr>
        <xdr:cNvSpPr txBox="1">
          <a:spLocks noChangeArrowheads="1"/>
        </xdr:cNvSpPr>
      </xdr:nvSpPr>
      <xdr:spPr bwMode="auto">
        <a:xfrm>
          <a:off x="628650" y="80448150"/>
          <a:ext cx="4495800" cy="15621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sz="1000" b="1" i="0" strike="noStrike">
              <a:solidFill>
                <a:srgbClr val="000000"/>
              </a:solidFill>
              <a:latin typeface="Arial"/>
              <a:cs typeface="Arial"/>
            </a:rPr>
            <a:t>9 BOLT ECCENTRIC LOADING </a:t>
          </a:r>
        </a:p>
        <a:p>
          <a:pPr algn="l" rtl="0">
            <a:lnSpc>
              <a:spcPts val="1100"/>
            </a:lnSpc>
            <a:defRPr sz="1000"/>
          </a:pPr>
          <a:endParaRPr lang="en-US" sz="1000" b="1"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The 9 bolt bracket above has a vertical eccentric load W. The bracket will rotate about the centroid, C of the bolts. The reaction force, Pn of a typical bolt is shown in the diagram above-right. The applied load, W is replaced by the equivalent, vertical force, V and moment, M acting at the centroid, C of the bolt group.</a:t>
          </a:r>
        </a:p>
        <a:p>
          <a:pPr algn="l" rtl="0">
            <a:lnSpc>
              <a:spcPts val="1000"/>
            </a:lnSpc>
            <a:defRPr sz="1000"/>
          </a:pPr>
          <a:endParaRPr lang="en-US" sz="1000" b="0" i="0" strike="noStrike">
            <a:solidFill>
              <a:srgbClr val="000000"/>
            </a:solidFill>
            <a:latin typeface="Arial"/>
            <a:cs typeface="Arial"/>
          </a:endParaRPr>
        </a:p>
        <a:p>
          <a:pPr algn="l" rtl="0">
            <a:lnSpc>
              <a:spcPts val="1000"/>
            </a:lnSpc>
            <a:defRPr sz="1000"/>
          </a:pPr>
          <a:r>
            <a:rPr lang="en-US" sz="1000" b="0" i="0" strike="noStrike">
              <a:solidFill>
                <a:srgbClr val="000000"/>
              </a:solidFill>
              <a:latin typeface="Arial"/>
              <a:cs typeface="Arial"/>
            </a:rPr>
            <a:t>The joint will rotate about the instantaneous center, C at distance Xo.</a:t>
          </a:r>
        </a:p>
        <a:p>
          <a:pPr algn="l" rtl="0">
            <a:lnSpc>
              <a:spcPts val="1000"/>
            </a:lnSpc>
            <a:defRPr sz="1000"/>
          </a:pPr>
          <a:endParaRPr lang="en-US" sz="1000" b="1" i="0" strike="noStrike">
            <a:solidFill>
              <a:srgbClr val="000000"/>
            </a:solidFill>
            <a:latin typeface="Arial"/>
            <a:cs typeface="Arial"/>
          </a:endParaRPr>
        </a:p>
        <a:p>
          <a:pPr algn="l" rtl="0">
            <a:lnSpc>
              <a:spcPts val="1100"/>
            </a:lnSpc>
            <a:defRPr sz="1000"/>
          </a:pPr>
          <a:endParaRPr lang="en-US" sz="1000" b="1" i="0" strike="noStrike">
            <a:solidFill>
              <a:srgbClr val="000000"/>
            </a:solidFill>
            <a:latin typeface="Arial"/>
            <a:cs typeface="Arial"/>
          </a:endParaRPr>
        </a:p>
        <a:p>
          <a:pPr algn="l" rtl="0">
            <a:lnSpc>
              <a:spcPts val="1000"/>
            </a:lnSpc>
            <a:defRPr sz="1000"/>
          </a:pPr>
          <a:endParaRPr lang="en-US" sz="1000" b="1" i="0" strike="noStrike">
            <a:solidFill>
              <a:srgbClr val="000000"/>
            </a:solidFill>
            <a:latin typeface="Arial"/>
            <a:cs typeface="Arial"/>
          </a:endParaRPr>
        </a:p>
      </xdr:txBody>
    </xdr:sp>
    <xdr:clientData/>
  </xdr:twoCellAnchor>
  <xdr:twoCellAnchor editAs="oneCell">
    <xdr:from>
      <xdr:col>8</xdr:col>
      <xdr:colOff>561975</xdr:colOff>
      <xdr:row>468</xdr:row>
      <xdr:rowOff>57150</xdr:rowOff>
    </xdr:from>
    <xdr:to>
      <xdr:col>10</xdr:col>
      <xdr:colOff>228600</xdr:colOff>
      <xdr:row>486</xdr:row>
      <xdr:rowOff>19050</xdr:rowOff>
    </xdr:to>
    <xdr:pic>
      <xdr:nvPicPr>
        <xdr:cNvPr id="10683" name="Picture 56" descr="JOINT-FAILURE-MODES-6">
          <a:extLst>
            <a:ext uri="{FF2B5EF4-FFF2-40B4-BE49-F238E27FC236}">
              <a16:creationId xmlns:a16="http://schemas.microsoft.com/office/drawing/2014/main" id="{00000000-0008-0000-0100-0000BB2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1775" y="76666725"/>
          <a:ext cx="1828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126</xdr:row>
      <xdr:rowOff>114300</xdr:rowOff>
    </xdr:from>
    <xdr:to>
      <xdr:col>7</xdr:col>
      <xdr:colOff>800100</xdr:colOff>
      <xdr:row>136</xdr:row>
      <xdr:rowOff>76200</xdr:rowOff>
    </xdr:to>
    <xdr:sp macro="" textlink="">
      <xdr:nvSpPr>
        <xdr:cNvPr id="1086" name="Text Box 62">
          <a:extLst>
            <a:ext uri="{FF2B5EF4-FFF2-40B4-BE49-F238E27FC236}">
              <a16:creationId xmlns:a16="http://schemas.microsoft.com/office/drawing/2014/main" id="{00000000-0008-0000-0100-00003E040000}"/>
            </a:ext>
          </a:extLst>
        </xdr:cNvPr>
        <xdr:cNvSpPr txBox="1">
          <a:spLocks noChangeArrowheads="1"/>
        </xdr:cNvSpPr>
      </xdr:nvSpPr>
      <xdr:spPr bwMode="auto">
        <a:xfrm>
          <a:off x="4238625" y="20745450"/>
          <a:ext cx="1666875" cy="1600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cs typeface="Arial"/>
            </a:rPr>
            <a:t>Notes: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 Stresses are to be applied to nominal fastener diameter.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b Threads are included in the shear plane.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c Threads are exclude from the shear plane.</a:t>
          </a:r>
        </a:p>
      </xdr:txBody>
    </xdr:sp>
    <xdr:clientData/>
  </xdr:twoCellAnchor>
  <xdr:twoCellAnchor>
    <xdr:from>
      <xdr:col>1</xdr:col>
      <xdr:colOff>28575</xdr:colOff>
      <xdr:row>3</xdr:row>
      <xdr:rowOff>85725</xdr:rowOff>
    </xdr:from>
    <xdr:to>
      <xdr:col>6</xdr:col>
      <xdr:colOff>866775</xdr:colOff>
      <xdr:row>26</xdr:row>
      <xdr:rowOff>85725</xdr:rowOff>
    </xdr:to>
    <xdr:sp macro="" textlink="">
      <xdr:nvSpPr>
        <xdr:cNvPr id="1087" name="Text Box 63">
          <a:extLst>
            <a:ext uri="{FF2B5EF4-FFF2-40B4-BE49-F238E27FC236}">
              <a16:creationId xmlns:a16="http://schemas.microsoft.com/office/drawing/2014/main" id="{00000000-0008-0000-0100-00003F040000}"/>
            </a:ext>
          </a:extLst>
        </xdr:cNvPr>
        <xdr:cNvSpPr txBox="1">
          <a:spLocks noChangeArrowheads="1"/>
        </xdr:cNvSpPr>
      </xdr:nvSpPr>
      <xdr:spPr bwMode="auto">
        <a:xfrm>
          <a:off x="638175" y="647700"/>
          <a:ext cx="4438650" cy="37242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sz="1000" b="1" i="0" strike="noStrike">
              <a:solidFill>
                <a:srgbClr val="000000"/>
              </a:solidFill>
              <a:latin typeface="Arial"/>
              <a:cs typeface="Arial"/>
            </a:rPr>
            <a:t>OBJECTIVES</a:t>
          </a:r>
        </a:p>
        <a:p>
          <a:pPr algn="l" rtl="0">
            <a:lnSpc>
              <a:spcPts val="1100"/>
            </a:lnSpc>
            <a:defRPr sz="1000"/>
          </a:pPr>
          <a:r>
            <a:rPr lang="en-US" sz="1000" b="0" i="0" strike="noStrike">
              <a:solidFill>
                <a:srgbClr val="000000"/>
              </a:solidFill>
              <a:latin typeface="Arial"/>
              <a:cs typeface="Arial"/>
            </a:rPr>
            <a:t>1. Define the four modes of failure in bolted shear connection failure. </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2. Calculate lap and butt joint strength.</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0" i="0" strike="noStrike">
              <a:solidFill>
                <a:srgbClr val="000000"/>
              </a:solidFill>
              <a:latin typeface="Arial"/>
              <a:cs typeface="Arial"/>
            </a:rPr>
            <a:t>3. Compute bolt tension capacities.</a:t>
          </a:r>
          <a:endParaRPr lang="en-US" sz="1000" b="1" i="0" strike="noStrike">
            <a:solidFill>
              <a:srgbClr val="000000"/>
            </a:solidFill>
            <a:latin typeface="Arial"/>
            <a:cs typeface="Arial"/>
          </a:endParaRPr>
        </a:p>
        <a:p>
          <a:pPr algn="l" rtl="0">
            <a:lnSpc>
              <a:spcPts val="1100"/>
            </a:lnSpc>
            <a:defRPr sz="1000"/>
          </a:pPr>
          <a:endParaRPr lang="en-US" sz="1000" b="1" i="0" strike="noStrike">
            <a:solidFill>
              <a:srgbClr val="000000"/>
            </a:solidFill>
            <a:latin typeface="Arial"/>
            <a:cs typeface="Arial"/>
          </a:endParaRPr>
        </a:p>
        <a:p>
          <a:pPr algn="l" rtl="0">
            <a:lnSpc>
              <a:spcPts val="1100"/>
            </a:lnSpc>
            <a:defRPr sz="1000"/>
          </a:pPr>
          <a:r>
            <a:rPr lang="en-US" sz="1000" b="1" i="0" strike="noStrike">
              <a:solidFill>
                <a:srgbClr val="000000"/>
              </a:solidFill>
              <a:latin typeface="Arial"/>
              <a:cs typeface="Arial"/>
            </a:rPr>
            <a:t>The American Institute of Steel Construction</a:t>
          </a:r>
          <a:r>
            <a:rPr lang="en-US" sz="1000" b="0" i="0" strike="noStrike">
              <a:solidFill>
                <a:srgbClr val="000000"/>
              </a:solidFill>
              <a:latin typeface="Arial"/>
              <a:cs typeface="Arial"/>
            </a:rPr>
            <a:t> (AISC) has established standard dimensions of steel structural members for buildings and bridges. The AISC, "Manual of Steel Construction" specifies the allowable stress design of steel structures. All bolted structures shall be constructed with high strength bolts. </a:t>
          </a:r>
          <a:endParaRPr lang="en-US" sz="1000" b="1" i="0" strike="noStrike">
            <a:solidFill>
              <a:srgbClr val="000000"/>
            </a:solidFill>
            <a:latin typeface="Arial"/>
            <a:cs typeface="Arial"/>
          </a:endParaRPr>
        </a:p>
        <a:p>
          <a:pPr algn="l" rtl="0">
            <a:lnSpc>
              <a:spcPts val="1100"/>
            </a:lnSpc>
            <a:defRPr sz="1000"/>
          </a:pPr>
          <a:endParaRPr lang="en-US" sz="1000" b="1" i="0" strike="noStrike">
            <a:solidFill>
              <a:srgbClr val="000000"/>
            </a:solidFill>
            <a:latin typeface="Arial"/>
            <a:cs typeface="Arial"/>
          </a:endParaRPr>
        </a:p>
        <a:p>
          <a:pPr algn="l" rtl="0">
            <a:lnSpc>
              <a:spcPts val="1100"/>
            </a:lnSpc>
            <a:defRPr sz="1000"/>
          </a:pPr>
          <a:r>
            <a:rPr lang="en-US" sz="1000" b="1" i="0" strike="noStrike">
              <a:solidFill>
                <a:srgbClr val="000000"/>
              </a:solidFill>
              <a:latin typeface="Arial"/>
              <a:cs typeface="Arial"/>
            </a:rPr>
            <a:t>RIVETS</a:t>
          </a:r>
        </a:p>
        <a:p>
          <a:pPr algn="l" rtl="0">
            <a:lnSpc>
              <a:spcPts val="1100"/>
            </a:lnSpc>
            <a:defRPr sz="1000"/>
          </a:pPr>
          <a:r>
            <a:rPr lang="en-US" sz="1000" b="0" i="0" strike="noStrike">
              <a:solidFill>
                <a:srgbClr val="000000"/>
              </a:solidFill>
              <a:latin typeface="Arial"/>
              <a:cs typeface="Arial"/>
            </a:rPr>
            <a:t> are formed in place while hot filling the holes in the plates being joined. They contract during cooling and apply a force clamping the plates together.</a:t>
          </a:r>
        </a:p>
        <a:p>
          <a:pPr algn="l" rtl="0">
            <a:lnSpc>
              <a:spcPts val="1100"/>
            </a:lnSpc>
            <a:defRPr sz="1000"/>
          </a:pPr>
          <a:endParaRPr lang="en-US" sz="1000" b="0" i="0" strike="noStrike">
            <a:solidFill>
              <a:srgbClr val="000000"/>
            </a:solidFill>
            <a:latin typeface="Arial"/>
            <a:cs typeface="Arial"/>
          </a:endParaRPr>
        </a:p>
        <a:p>
          <a:pPr algn="l" rtl="0">
            <a:lnSpc>
              <a:spcPts val="1100"/>
            </a:lnSpc>
            <a:defRPr sz="1000"/>
          </a:pPr>
          <a:r>
            <a:rPr lang="en-US" sz="1000" b="1" i="0" strike="noStrike">
              <a:solidFill>
                <a:srgbClr val="000000"/>
              </a:solidFill>
              <a:latin typeface="Arial"/>
              <a:cs typeface="Arial"/>
            </a:rPr>
            <a:t>BOLTS</a:t>
          </a:r>
        </a:p>
        <a:p>
          <a:pPr algn="l" rtl="0">
            <a:lnSpc>
              <a:spcPts val="1100"/>
            </a:lnSpc>
            <a:defRPr sz="1000"/>
          </a:pPr>
          <a:r>
            <a:rPr lang="en-US" sz="1000" b="0" i="0" strike="noStrike">
              <a:solidFill>
                <a:srgbClr val="000000"/>
              </a:solidFill>
              <a:latin typeface="Arial"/>
              <a:cs typeface="Arial"/>
            </a:rPr>
            <a:t>High strength bolts are tightened until they develop approximately 70% of the ultimate tensile strength of the bolt. The plates are clamped tightly together so most of the load transfer between plates is by friction. However the forces acting on the connections in this course are assumed to have zero friction.</a:t>
          </a:r>
        </a:p>
        <a:p>
          <a:pPr algn="l" rtl="0">
            <a:lnSpc>
              <a:spcPts val="1000"/>
            </a:lnSpc>
            <a:defRPr sz="1000"/>
          </a:pPr>
          <a:endParaRPr lang="en-US" sz="1000" b="0" i="0" strike="noStrike">
            <a:solidFill>
              <a:srgbClr val="000000"/>
            </a:solidFill>
            <a:latin typeface="Arial"/>
            <a:cs typeface="Arial"/>
          </a:endParaRPr>
        </a:p>
        <a:p>
          <a:pPr algn="l" rtl="0">
            <a:lnSpc>
              <a:spcPts val="1100"/>
            </a:lnSpc>
            <a:defRPr sz="1000"/>
          </a:pPr>
          <a:endParaRPr lang="en-US" sz="1000" b="0" i="0" strike="noStrike">
            <a:solidFill>
              <a:srgbClr val="000000"/>
            </a:solidFill>
            <a:latin typeface="Arial"/>
            <a:cs typeface="Arial"/>
          </a:endParaRPr>
        </a:p>
        <a:p>
          <a:pPr algn="l" rtl="0">
            <a:lnSpc>
              <a:spcPts val="1000"/>
            </a:lnSpc>
            <a:defRPr sz="1000"/>
          </a:pPr>
          <a:endParaRPr lang="en-US" sz="1000" b="0" i="0" strike="noStrike">
            <a:solidFill>
              <a:srgbClr val="000000"/>
            </a:solidFill>
            <a:latin typeface="Arial"/>
            <a:cs typeface="Arial"/>
          </a:endParaRPr>
        </a:p>
        <a:p>
          <a:pPr algn="l" rtl="0">
            <a:lnSpc>
              <a:spcPts val="1100"/>
            </a:lnSpc>
            <a:defRPr sz="1000"/>
          </a:pPr>
          <a:endParaRPr lang="en-US" sz="1000" b="0" i="0" strike="noStrike">
            <a:solidFill>
              <a:srgbClr val="000000"/>
            </a:solidFill>
            <a:latin typeface="Arial"/>
            <a:cs typeface="Arial"/>
          </a:endParaRPr>
        </a:p>
        <a:p>
          <a:pPr algn="l" rtl="0">
            <a:lnSpc>
              <a:spcPts val="1000"/>
            </a:lnSpc>
            <a:defRPr sz="1000"/>
          </a:pPr>
          <a:endParaRPr lang="en-US" sz="1000" b="0" i="0" strike="noStrike">
            <a:solidFill>
              <a:srgbClr val="000000"/>
            </a:solidFill>
            <a:latin typeface="Arial"/>
            <a:cs typeface="Arial"/>
          </a:endParaRPr>
        </a:p>
      </xdr:txBody>
    </xdr:sp>
    <xdr:clientData/>
  </xdr:twoCellAnchor>
  <xdr:twoCellAnchor editAs="oneCell">
    <xdr:from>
      <xdr:col>1</xdr:col>
      <xdr:colOff>600075</xdr:colOff>
      <xdr:row>255</xdr:row>
      <xdr:rowOff>104775</xdr:rowOff>
    </xdr:from>
    <xdr:to>
      <xdr:col>6</xdr:col>
      <xdr:colOff>171450</xdr:colOff>
      <xdr:row>287</xdr:row>
      <xdr:rowOff>133350</xdr:rowOff>
    </xdr:to>
    <xdr:pic>
      <xdr:nvPicPr>
        <xdr:cNvPr id="10686" name="Picture 64" descr="JOINT-FAILURE-MODES-0">
          <a:extLst>
            <a:ext uri="{FF2B5EF4-FFF2-40B4-BE49-F238E27FC236}">
              <a16:creationId xmlns:a16="http://schemas.microsoft.com/office/drawing/2014/main" id="{00000000-0008-0000-0100-0000BE2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9675" y="41852850"/>
          <a:ext cx="3200400" cy="521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54</xdr:row>
      <xdr:rowOff>95250</xdr:rowOff>
    </xdr:from>
    <xdr:to>
      <xdr:col>7</xdr:col>
      <xdr:colOff>19050</xdr:colOff>
      <xdr:row>67</xdr:row>
      <xdr:rowOff>133350</xdr:rowOff>
    </xdr:to>
    <xdr:sp macro="" textlink="">
      <xdr:nvSpPr>
        <xdr:cNvPr id="1089" name="Text Box 65">
          <a:extLst>
            <a:ext uri="{FF2B5EF4-FFF2-40B4-BE49-F238E27FC236}">
              <a16:creationId xmlns:a16="http://schemas.microsoft.com/office/drawing/2014/main" id="{00000000-0008-0000-0100-000041040000}"/>
            </a:ext>
          </a:extLst>
        </xdr:cNvPr>
        <xdr:cNvSpPr txBox="1">
          <a:spLocks noChangeArrowheads="1"/>
        </xdr:cNvSpPr>
      </xdr:nvSpPr>
      <xdr:spPr bwMode="auto">
        <a:xfrm>
          <a:off x="647700" y="8915400"/>
          <a:ext cx="4476750" cy="21431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FAILURE MODES OF BOLTED JOINTS SUBJECTED TO SHEAR </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Bolted connections subjected to shear can fail four ways: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Shear failure of bolts in single or double shear.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2. Tension failure by the metal yielding or by fracturing at a section weakened by holes.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3. Shear failure or tear-out of bolts connecting steel plates.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4. Bearing failure when the plates of metal are crushed by the force of bolts against their holes.</a:t>
          </a:r>
        </a:p>
        <a:p>
          <a:pPr algn="l" rtl="0">
            <a:defRPr sz="1000"/>
          </a:pPr>
          <a:endParaRPr lang="en-US" sz="1000" b="0" i="0" strike="noStrike">
            <a:solidFill>
              <a:srgbClr val="000000"/>
            </a:solidFill>
            <a:latin typeface="Arial"/>
            <a:cs typeface="Arial"/>
          </a:endParaRPr>
        </a:p>
      </xdr:txBody>
    </xdr:sp>
    <xdr:clientData/>
  </xdr:twoCellAnchor>
  <xdr:twoCellAnchor>
    <xdr:from>
      <xdr:col>1</xdr:col>
      <xdr:colOff>38100</xdr:colOff>
      <xdr:row>289</xdr:row>
      <xdr:rowOff>0</xdr:rowOff>
    </xdr:from>
    <xdr:to>
      <xdr:col>6</xdr:col>
      <xdr:colOff>876300</xdr:colOff>
      <xdr:row>300</xdr:row>
      <xdr:rowOff>19050</xdr:rowOff>
    </xdr:to>
    <xdr:sp macro="" textlink="">
      <xdr:nvSpPr>
        <xdr:cNvPr id="1090" name="Text Box 66">
          <a:extLst>
            <a:ext uri="{FF2B5EF4-FFF2-40B4-BE49-F238E27FC236}">
              <a16:creationId xmlns:a16="http://schemas.microsoft.com/office/drawing/2014/main" id="{00000000-0008-0000-0100-000042040000}"/>
            </a:ext>
          </a:extLst>
        </xdr:cNvPr>
        <xdr:cNvSpPr txBox="1">
          <a:spLocks noChangeArrowheads="1"/>
        </xdr:cNvSpPr>
      </xdr:nvSpPr>
      <xdr:spPr bwMode="auto">
        <a:xfrm>
          <a:off x="647700" y="47215425"/>
          <a:ext cx="4438650" cy="1800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MULTIPLE BOLT JOINT - RULES</a:t>
          </a:r>
        </a:p>
        <a:p>
          <a:pPr algn="l" rtl="0">
            <a:defRPr sz="1000"/>
          </a:pPr>
          <a:endParaRPr lang="en-US" sz="1000" b="1"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Single shear: T1 &gt;= T2, see above.</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2. Double shear: T3 &gt;= T1 / 2</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3. Edge distance: L1 = L2 - D / 2</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4. Edge distance: L1 = 1.75 x D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Refer to the AISC, "Manual of Steel Construction" for more information.</a:t>
          </a:r>
        </a:p>
      </xdr:txBody>
    </xdr:sp>
    <xdr:clientData/>
  </xdr:twoCellAnchor>
  <xdr:twoCellAnchor>
    <xdr:from>
      <xdr:col>1</xdr:col>
      <xdr:colOff>0</xdr:colOff>
      <xdr:row>307</xdr:row>
      <xdr:rowOff>28575</xdr:rowOff>
    </xdr:from>
    <xdr:to>
      <xdr:col>7</xdr:col>
      <xdr:colOff>0</xdr:colOff>
      <xdr:row>325</xdr:row>
      <xdr:rowOff>47625</xdr:rowOff>
    </xdr:to>
    <xdr:sp macro="" textlink="">
      <xdr:nvSpPr>
        <xdr:cNvPr id="1092" name="Text Box 68">
          <a:extLst>
            <a:ext uri="{FF2B5EF4-FFF2-40B4-BE49-F238E27FC236}">
              <a16:creationId xmlns:a16="http://schemas.microsoft.com/office/drawing/2014/main" id="{00000000-0008-0000-0100-000044040000}"/>
            </a:ext>
          </a:extLst>
        </xdr:cNvPr>
        <xdr:cNvSpPr txBox="1">
          <a:spLocks noChangeArrowheads="1"/>
        </xdr:cNvSpPr>
      </xdr:nvSpPr>
      <xdr:spPr bwMode="auto">
        <a:xfrm>
          <a:off x="609600" y="50158650"/>
          <a:ext cx="4495800" cy="2933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BOLTED CONNECTION STRENGTH FACTORS</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Bolted Connection Static Tensile Strength</a:t>
          </a:r>
        </a:p>
        <a:p>
          <a:pPr algn="l" rtl="0">
            <a:defRPr sz="1000"/>
          </a:pPr>
          <a:r>
            <a:rPr lang="en-US" sz="1000" b="0" i="0" strike="noStrike">
              <a:solidFill>
                <a:srgbClr val="000000"/>
              </a:solidFill>
              <a:latin typeface="Arial"/>
              <a:cs typeface="Arial"/>
            </a:rPr>
            <a:t>The design of a bolted connection subjected to concentric tension includes the following factors: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 Bolt material properties.</a:t>
          </a:r>
        </a:p>
        <a:p>
          <a:pPr algn="l" rtl="0">
            <a:defRPr sz="1000"/>
          </a:pPr>
          <a:r>
            <a:rPr lang="en-US" sz="1000" b="0" i="0" strike="noStrike">
              <a:solidFill>
                <a:srgbClr val="000000"/>
              </a:solidFill>
              <a:latin typeface="Arial"/>
              <a:cs typeface="Arial"/>
            </a:rPr>
            <a:t>b. Bolt and hole dimensions.</a:t>
          </a:r>
        </a:p>
        <a:p>
          <a:pPr algn="l" rtl="0">
            <a:defRPr sz="1000"/>
          </a:pPr>
          <a:r>
            <a:rPr lang="en-US" sz="1000" b="0" i="0" strike="noStrike">
              <a:solidFill>
                <a:srgbClr val="000000"/>
              </a:solidFill>
              <a:latin typeface="Arial"/>
              <a:cs typeface="Arial"/>
            </a:rPr>
            <a:t>c. Member material properties.</a:t>
          </a:r>
        </a:p>
        <a:p>
          <a:pPr algn="l" rtl="0">
            <a:defRPr sz="1000"/>
          </a:pPr>
          <a:r>
            <a:rPr lang="en-US" sz="1000" b="0" i="0" strike="noStrike">
              <a:solidFill>
                <a:srgbClr val="000000"/>
              </a:solidFill>
              <a:latin typeface="Arial"/>
              <a:cs typeface="Arial"/>
            </a:rPr>
            <a:t>d. Member dimensions.</a:t>
          </a:r>
        </a:p>
        <a:p>
          <a:pPr algn="l" rtl="0">
            <a:defRPr sz="1000"/>
          </a:pPr>
          <a:r>
            <a:rPr lang="en-US" sz="1000" b="0" i="0" strike="noStrike">
              <a:solidFill>
                <a:srgbClr val="000000"/>
              </a:solidFill>
              <a:latin typeface="Arial"/>
              <a:cs typeface="Arial"/>
            </a:rPr>
            <a:t>e. Friction.</a:t>
          </a:r>
        </a:p>
        <a:p>
          <a:pPr algn="l" rtl="0">
            <a:defRPr sz="1000"/>
          </a:pPr>
          <a:r>
            <a:rPr lang="en-US" sz="1000" b="0" i="0" strike="noStrike">
              <a:solidFill>
                <a:srgbClr val="000000"/>
              </a:solidFill>
              <a:latin typeface="Arial"/>
              <a:cs typeface="Arial"/>
            </a:rPr>
            <a:t>f.  Failure mode.</a:t>
          </a:r>
        </a:p>
        <a:p>
          <a:pPr algn="l" rtl="0">
            <a:defRPr sz="1000"/>
          </a:pPr>
          <a:r>
            <a:rPr lang="en-US" sz="1000" b="0" i="0" strike="noStrike">
              <a:solidFill>
                <a:srgbClr val="000000"/>
              </a:solidFill>
              <a:latin typeface="Arial"/>
              <a:cs typeface="Arial"/>
            </a:rPr>
            <a:t>g. Allowable stress.</a:t>
          </a:r>
        </a:p>
        <a:p>
          <a:pPr algn="l" rtl="0">
            <a:defRPr sz="1000"/>
          </a:pPr>
          <a:r>
            <a:rPr lang="en-US" sz="1000" b="0" i="0" strike="noStrike">
              <a:solidFill>
                <a:srgbClr val="000000"/>
              </a:solidFill>
              <a:latin typeface="Arial"/>
              <a:cs typeface="Arial"/>
            </a:rPr>
            <a:t>h. Safety factor.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Connection Efficiency, </a:t>
          </a:r>
        </a:p>
        <a:p>
          <a:pPr algn="l" rtl="0">
            <a:defRPr sz="1000"/>
          </a:pPr>
          <a:r>
            <a:rPr lang="en-US" sz="1000" b="0" i="0" strike="noStrike">
              <a:solidFill>
                <a:srgbClr val="000000"/>
              </a:solidFill>
              <a:latin typeface="Arial"/>
              <a:cs typeface="Arial"/>
            </a:rPr>
            <a:t>e = Failure Load, Pf / Parent Member Strength, Ppm</a:t>
          </a:r>
        </a:p>
      </xdr:txBody>
    </xdr:sp>
    <xdr:clientData/>
  </xdr:twoCellAnchor>
  <xdr:twoCellAnchor editAs="oneCell">
    <xdr:from>
      <xdr:col>0</xdr:col>
      <xdr:colOff>142875</xdr:colOff>
      <xdr:row>27</xdr:row>
      <xdr:rowOff>38100</xdr:rowOff>
    </xdr:from>
    <xdr:to>
      <xdr:col>7</xdr:col>
      <xdr:colOff>581025</xdr:colOff>
      <xdr:row>47</xdr:row>
      <xdr:rowOff>114300</xdr:rowOff>
    </xdr:to>
    <xdr:pic>
      <xdr:nvPicPr>
        <xdr:cNvPr id="10690" name="Picture 69" descr="BOLTED-JOINTS">
          <a:extLst>
            <a:ext uri="{FF2B5EF4-FFF2-40B4-BE49-F238E27FC236}">
              <a16:creationId xmlns:a16="http://schemas.microsoft.com/office/drawing/2014/main" id="{00000000-0008-0000-0100-0000C22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 y="4486275"/>
          <a:ext cx="5667375"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373</xdr:row>
      <xdr:rowOff>95250</xdr:rowOff>
    </xdr:from>
    <xdr:to>
      <xdr:col>7</xdr:col>
      <xdr:colOff>1095375</xdr:colOff>
      <xdr:row>383</xdr:row>
      <xdr:rowOff>152400</xdr:rowOff>
    </xdr:to>
    <xdr:sp macro="" textlink="">
      <xdr:nvSpPr>
        <xdr:cNvPr id="1096" name="Text Box 72">
          <a:extLst>
            <a:ext uri="{FF2B5EF4-FFF2-40B4-BE49-F238E27FC236}">
              <a16:creationId xmlns:a16="http://schemas.microsoft.com/office/drawing/2014/main" id="{00000000-0008-0000-0100-000048040000}"/>
            </a:ext>
          </a:extLst>
        </xdr:cNvPr>
        <xdr:cNvSpPr txBox="1">
          <a:spLocks noChangeArrowheads="1"/>
        </xdr:cNvSpPr>
      </xdr:nvSpPr>
      <xdr:spPr bwMode="auto">
        <a:xfrm>
          <a:off x="4305300" y="61064775"/>
          <a:ext cx="1714500" cy="1676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 Stresses are to be applied to nominal fastener diameter.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b Threads are include in the shear plane.</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c Threads are exclude from the shear plane.</a:t>
          </a:r>
        </a:p>
      </xdr:txBody>
    </xdr:sp>
    <xdr:clientData/>
  </xdr:twoCellAnchor>
  <xdr:twoCellAnchor>
    <xdr:from>
      <xdr:col>6</xdr:col>
      <xdr:colOff>95250</xdr:colOff>
      <xdr:row>421</xdr:row>
      <xdr:rowOff>95250</xdr:rowOff>
    </xdr:from>
    <xdr:to>
      <xdr:col>7</xdr:col>
      <xdr:colOff>1095375</xdr:colOff>
      <xdr:row>431</xdr:row>
      <xdr:rowOff>152400</xdr:rowOff>
    </xdr:to>
    <xdr:sp macro="" textlink="">
      <xdr:nvSpPr>
        <xdr:cNvPr id="1097" name="Text Box 73">
          <a:extLst>
            <a:ext uri="{FF2B5EF4-FFF2-40B4-BE49-F238E27FC236}">
              <a16:creationId xmlns:a16="http://schemas.microsoft.com/office/drawing/2014/main" id="{00000000-0008-0000-0100-000049040000}"/>
            </a:ext>
          </a:extLst>
        </xdr:cNvPr>
        <xdr:cNvSpPr txBox="1">
          <a:spLocks noChangeArrowheads="1"/>
        </xdr:cNvSpPr>
      </xdr:nvSpPr>
      <xdr:spPr bwMode="auto">
        <a:xfrm>
          <a:off x="4305300" y="68999100"/>
          <a:ext cx="1714500" cy="16859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 Stresses are to be applied to nominal fastener diameter.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b Threads are include in the shear plane.</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c Threads are exclude from the shear plane.</a:t>
          </a:r>
        </a:p>
      </xdr:txBody>
    </xdr:sp>
    <xdr:clientData/>
  </xdr:twoCellAnchor>
  <xdr:twoCellAnchor>
    <xdr:from>
      <xdr:col>6</xdr:col>
      <xdr:colOff>104775</xdr:colOff>
      <xdr:row>170</xdr:row>
      <xdr:rowOff>76200</xdr:rowOff>
    </xdr:from>
    <xdr:to>
      <xdr:col>7</xdr:col>
      <xdr:colOff>809625</xdr:colOff>
      <xdr:row>181</xdr:row>
      <xdr:rowOff>95250</xdr:rowOff>
    </xdr:to>
    <xdr:sp macro="" textlink="">
      <xdr:nvSpPr>
        <xdr:cNvPr id="1098" name="Text Box 74">
          <a:extLst>
            <a:ext uri="{FF2B5EF4-FFF2-40B4-BE49-F238E27FC236}">
              <a16:creationId xmlns:a16="http://schemas.microsoft.com/office/drawing/2014/main" id="{00000000-0008-0000-0100-00004A040000}"/>
            </a:ext>
          </a:extLst>
        </xdr:cNvPr>
        <xdr:cNvSpPr txBox="1">
          <a:spLocks noChangeArrowheads="1"/>
        </xdr:cNvSpPr>
      </xdr:nvSpPr>
      <xdr:spPr bwMode="auto">
        <a:xfrm>
          <a:off x="4314825" y="28003500"/>
          <a:ext cx="1600200" cy="1800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 Stresses are to be applied to nominal fastener diameter.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b Threads are include in the shear plane.</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c Threads are exclude from the shear plane.</a:t>
          </a:r>
        </a:p>
      </xdr:txBody>
    </xdr:sp>
    <xdr:clientData/>
  </xdr:twoCellAnchor>
  <xdr:twoCellAnchor editAs="oneCell">
    <xdr:from>
      <xdr:col>2</xdr:col>
      <xdr:colOff>457200</xdr:colOff>
      <xdr:row>211</xdr:row>
      <xdr:rowOff>0</xdr:rowOff>
    </xdr:from>
    <xdr:to>
      <xdr:col>5</xdr:col>
      <xdr:colOff>285750</xdr:colOff>
      <xdr:row>241</xdr:row>
      <xdr:rowOff>133350</xdr:rowOff>
    </xdr:to>
    <xdr:pic>
      <xdr:nvPicPr>
        <xdr:cNvPr id="10694" name="Picture 81" descr="LAP-JOINTS">
          <a:extLst>
            <a:ext uri="{FF2B5EF4-FFF2-40B4-BE49-F238E27FC236}">
              <a16:creationId xmlns:a16="http://schemas.microsoft.com/office/drawing/2014/main" id="{00000000-0008-0000-0100-0000C629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76400" y="34623375"/>
          <a:ext cx="2428875" cy="499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135</xdr:row>
      <xdr:rowOff>19050</xdr:rowOff>
    </xdr:from>
    <xdr:to>
      <xdr:col>4</xdr:col>
      <xdr:colOff>142875</xdr:colOff>
      <xdr:row>145</xdr:row>
      <xdr:rowOff>133350</xdr:rowOff>
    </xdr:to>
    <xdr:pic>
      <xdr:nvPicPr>
        <xdr:cNvPr id="10695" name="Picture 83" descr="JOINT-FAILURE-MODES-2">
          <a:extLst>
            <a:ext uri="{FF2B5EF4-FFF2-40B4-BE49-F238E27FC236}">
              <a16:creationId xmlns:a16="http://schemas.microsoft.com/office/drawing/2014/main" id="{00000000-0008-0000-0100-0000C729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6825" y="22126575"/>
          <a:ext cx="22669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314325</xdr:colOff>
      <xdr:row>69</xdr:row>
      <xdr:rowOff>95250</xdr:rowOff>
    </xdr:from>
    <xdr:to>
      <xdr:col>5</xdr:col>
      <xdr:colOff>123825</xdr:colOff>
      <xdr:row>95</xdr:row>
      <xdr:rowOff>28575</xdr:rowOff>
    </xdr:to>
    <xdr:pic>
      <xdr:nvPicPr>
        <xdr:cNvPr id="10696" name="Picture 84" descr="JOINT-FAILURE-MODES-1">
          <a:extLst>
            <a:ext uri="{FF2B5EF4-FFF2-40B4-BE49-F238E27FC236}">
              <a16:creationId xmlns:a16="http://schemas.microsoft.com/office/drawing/2014/main" id="{00000000-0008-0000-0100-0000C829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23925" y="11344275"/>
          <a:ext cx="3019425" cy="414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242</xdr:row>
      <xdr:rowOff>95250</xdr:rowOff>
    </xdr:from>
    <xdr:to>
      <xdr:col>6</xdr:col>
      <xdr:colOff>857250</xdr:colOff>
      <xdr:row>249</xdr:row>
      <xdr:rowOff>95250</xdr:rowOff>
    </xdr:to>
    <xdr:sp macro="" textlink="">
      <xdr:nvSpPr>
        <xdr:cNvPr id="1109" name="Text Box 85">
          <a:extLst>
            <a:ext uri="{FF2B5EF4-FFF2-40B4-BE49-F238E27FC236}">
              <a16:creationId xmlns:a16="http://schemas.microsoft.com/office/drawing/2014/main" id="{00000000-0008-0000-0100-000055040000}"/>
            </a:ext>
          </a:extLst>
        </xdr:cNvPr>
        <xdr:cNvSpPr txBox="1">
          <a:spLocks noChangeArrowheads="1"/>
        </xdr:cNvSpPr>
      </xdr:nvSpPr>
      <xdr:spPr bwMode="auto">
        <a:xfrm>
          <a:off x="838200" y="39700200"/>
          <a:ext cx="4229100" cy="1133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Single and Double Lap Joints</a:t>
          </a:r>
        </a:p>
        <a:p>
          <a:pPr algn="l" rtl="0">
            <a:defRPr sz="1000"/>
          </a:pPr>
          <a:endParaRPr lang="en-US" sz="1000" b="1"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Lap joints with multiple bolts are illustrated above.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Enter the number, N of bolts in the input cells above for lap joints in single or double shear.</a:t>
          </a:r>
        </a:p>
      </xdr:txBody>
    </xdr:sp>
    <xdr:clientData/>
  </xdr:twoCellAnchor>
  <xdr:twoCellAnchor>
    <xdr:from>
      <xdr:col>1</xdr:col>
      <xdr:colOff>9525</xdr:colOff>
      <xdr:row>205</xdr:row>
      <xdr:rowOff>28575</xdr:rowOff>
    </xdr:from>
    <xdr:to>
      <xdr:col>7</xdr:col>
      <xdr:colOff>28575</xdr:colOff>
      <xdr:row>209</xdr:row>
      <xdr:rowOff>66675</xdr:rowOff>
    </xdr:to>
    <xdr:sp macro="" textlink="">
      <xdr:nvSpPr>
        <xdr:cNvPr id="1110" name="Text Box 86">
          <a:extLst>
            <a:ext uri="{FF2B5EF4-FFF2-40B4-BE49-F238E27FC236}">
              <a16:creationId xmlns:a16="http://schemas.microsoft.com/office/drawing/2014/main" id="{00000000-0008-0000-0100-000056040000}"/>
            </a:ext>
          </a:extLst>
        </xdr:cNvPr>
        <xdr:cNvSpPr txBox="1">
          <a:spLocks noChangeArrowheads="1"/>
        </xdr:cNvSpPr>
      </xdr:nvSpPr>
      <xdr:spPr bwMode="auto">
        <a:xfrm>
          <a:off x="619125" y="33642300"/>
          <a:ext cx="4514850" cy="6858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calculations assume 100% of the bolts carry the load in a multiple bolt connection. The dimensions and material properties may be adjusted to achieve any desired safety factor.</a:t>
          </a:r>
        </a:p>
      </xdr:txBody>
    </xdr:sp>
    <xdr:clientData/>
  </xdr:twoCellAnchor>
  <xdr:twoCellAnchor>
    <xdr:from>
      <xdr:col>6</xdr:col>
      <xdr:colOff>9525</xdr:colOff>
      <xdr:row>388</xdr:row>
      <xdr:rowOff>47625</xdr:rowOff>
    </xdr:from>
    <xdr:to>
      <xdr:col>7</xdr:col>
      <xdr:colOff>809625</xdr:colOff>
      <xdr:row>396</xdr:row>
      <xdr:rowOff>95250</xdr:rowOff>
    </xdr:to>
    <xdr:sp macro="" textlink="">
      <xdr:nvSpPr>
        <xdr:cNvPr id="1114" name="Text Box 90">
          <a:extLst>
            <a:ext uri="{FF2B5EF4-FFF2-40B4-BE49-F238E27FC236}">
              <a16:creationId xmlns:a16="http://schemas.microsoft.com/office/drawing/2014/main" id="{00000000-0008-0000-0100-00005A040000}"/>
            </a:ext>
          </a:extLst>
        </xdr:cNvPr>
        <xdr:cNvSpPr txBox="1">
          <a:spLocks noChangeArrowheads="1"/>
        </xdr:cNvSpPr>
      </xdr:nvSpPr>
      <xdr:spPr bwMode="auto">
        <a:xfrm>
          <a:off x="4219575" y="63446025"/>
          <a:ext cx="1695450" cy="1343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Bearing strength-1, 2, and 3, Spb1, Spb2, and Spb3 are the result of bearing failure testing.</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Ref: Statics and Strength of Materials, H. W. Morrow and R. P. Kokernak.</a:t>
          </a:r>
        </a:p>
      </xdr:txBody>
    </xdr:sp>
    <xdr:clientData/>
  </xdr:twoCellAnchor>
  <xdr:twoCellAnchor editAs="oneCell">
    <xdr:from>
      <xdr:col>8</xdr:col>
      <xdr:colOff>200025</xdr:colOff>
      <xdr:row>561</xdr:row>
      <xdr:rowOff>66675</xdr:rowOff>
    </xdr:from>
    <xdr:to>
      <xdr:col>12</xdr:col>
      <xdr:colOff>161925</xdr:colOff>
      <xdr:row>586</xdr:row>
      <xdr:rowOff>123825</xdr:rowOff>
    </xdr:to>
    <xdr:pic>
      <xdr:nvPicPr>
        <xdr:cNvPr id="10700" name="Picture 33" descr="ECENTRIC LOADED BOLTS-1.jpg">
          <a:extLst>
            <a:ext uri="{FF2B5EF4-FFF2-40B4-BE49-F238E27FC236}">
              <a16:creationId xmlns:a16="http://schemas.microsoft.com/office/drawing/2014/main" id="{00000000-0008-0000-0100-0000CC29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219825" y="91982925"/>
          <a:ext cx="3790950" cy="410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562</xdr:row>
      <xdr:rowOff>66675</xdr:rowOff>
    </xdr:from>
    <xdr:to>
      <xdr:col>6</xdr:col>
      <xdr:colOff>238125</xdr:colOff>
      <xdr:row>586</xdr:row>
      <xdr:rowOff>47625</xdr:rowOff>
    </xdr:to>
    <xdr:pic>
      <xdr:nvPicPr>
        <xdr:cNvPr id="10701" name="Picture 34" descr="ECENTRIC LOADED BOLTS-2.jpg">
          <a:extLst>
            <a:ext uri="{FF2B5EF4-FFF2-40B4-BE49-F238E27FC236}">
              <a16:creationId xmlns:a16="http://schemas.microsoft.com/office/drawing/2014/main" id="{00000000-0008-0000-0100-0000CD29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81075" y="92144850"/>
          <a:ext cx="3495675" cy="386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466</xdr:row>
      <xdr:rowOff>0</xdr:rowOff>
    </xdr:from>
    <xdr:to>
      <xdr:col>6</xdr:col>
      <xdr:colOff>771525</xdr:colOff>
      <xdr:row>491</xdr:row>
      <xdr:rowOff>57150</xdr:rowOff>
    </xdr:to>
    <xdr:pic>
      <xdr:nvPicPr>
        <xdr:cNvPr id="10702" name="Picture 35" descr="ECENTRIC LOADED BOLTS-1.jpg">
          <a:extLst>
            <a:ext uri="{FF2B5EF4-FFF2-40B4-BE49-F238E27FC236}">
              <a16:creationId xmlns:a16="http://schemas.microsoft.com/office/drawing/2014/main" id="{00000000-0008-0000-0100-0000CE29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76285725"/>
          <a:ext cx="3790950" cy="410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334</xdr:row>
      <xdr:rowOff>57150</xdr:rowOff>
    </xdr:from>
    <xdr:to>
      <xdr:col>4</xdr:col>
      <xdr:colOff>209550</xdr:colOff>
      <xdr:row>351</xdr:row>
      <xdr:rowOff>19050</xdr:rowOff>
    </xdr:to>
    <xdr:pic>
      <xdr:nvPicPr>
        <xdr:cNvPr id="10703" name="Picture 25" descr="Q5-SINGLE-8-BOLT-LAP-ECCENTRIC">
          <a:extLst>
            <a:ext uri="{FF2B5EF4-FFF2-40B4-BE49-F238E27FC236}">
              <a16:creationId xmlns:a16="http://schemas.microsoft.com/office/drawing/2014/main" id="{00000000-0008-0000-0100-0000CF29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57275" y="54597300"/>
          <a:ext cx="2514600"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219075</xdr:colOff>
      <xdr:row>332</xdr:row>
      <xdr:rowOff>152400</xdr:rowOff>
    </xdr:from>
    <xdr:to>
      <xdr:col>8</xdr:col>
      <xdr:colOff>238125</xdr:colOff>
      <xdr:row>350</xdr:row>
      <xdr:rowOff>114300</xdr:rowOff>
    </xdr:to>
    <xdr:pic>
      <xdr:nvPicPr>
        <xdr:cNvPr id="10704" name="Picture 56" descr="JOINT-FAILURE-MODES-6">
          <a:extLst>
            <a:ext uri="{FF2B5EF4-FFF2-40B4-BE49-F238E27FC236}">
              <a16:creationId xmlns:a16="http://schemas.microsoft.com/office/drawing/2014/main" id="{00000000-0008-0000-0100-0000D02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4368700"/>
          <a:ext cx="1828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7</xdr:row>
      <xdr:rowOff>66675</xdr:rowOff>
    </xdr:from>
    <xdr:to>
      <xdr:col>5</xdr:col>
      <xdr:colOff>133350</xdr:colOff>
      <xdr:row>20</xdr:row>
      <xdr:rowOff>57150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276225" y="1495425"/>
          <a:ext cx="2905125" cy="2095500"/>
        </a:xfrm>
        <a:prstGeom prst="rect">
          <a:avLst/>
        </a:prstGeom>
      </xdr:spPr>
    </xdr:pic>
    <xdr:clientData/>
  </xdr:twoCellAnchor>
  <xdr:twoCellAnchor editAs="oneCell">
    <xdr:from>
      <xdr:col>5</xdr:col>
      <xdr:colOff>466725</xdr:colOff>
      <xdr:row>7</xdr:row>
      <xdr:rowOff>57150</xdr:rowOff>
    </xdr:from>
    <xdr:to>
      <xdr:col>10</xdr:col>
      <xdr:colOff>210820</xdr:colOff>
      <xdr:row>20</xdr:row>
      <xdr:rowOff>133350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a:fillRect/>
        </a:stretch>
      </xdr:blipFill>
      <xdr:spPr>
        <a:xfrm>
          <a:off x="3514725" y="1485900"/>
          <a:ext cx="2792095" cy="2181225"/>
        </a:xfrm>
        <a:prstGeom prst="rect">
          <a:avLst/>
        </a:prstGeom>
      </xdr:spPr>
    </xdr:pic>
    <xdr:clientData/>
  </xdr:twoCellAnchor>
  <xdr:twoCellAnchor editAs="oneCell">
    <xdr:from>
      <xdr:col>0</xdr:col>
      <xdr:colOff>295275</xdr:colOff>
      <xdr:row>21</xdr:row>
      <xdr:rowOff>66674</xdr:rowOff>
    </xdr:from>
    <xdr:to>
      <xdr:col>10</xdr:col>
      <xdr:colOff>600075</xdr:colOff>
      <xdr:row>51</xdr:row>
      <xdr:rowOff>133349</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a:stretch>
          <a:fillRect/>
        </a:stretch>
      </xdr:blipFill>
      <xdr:spPr>
        <a:xfrm>
          <a:off x="295275" y="3581399"/>
          <a:ext cx="6400800" cy="4962525"/>
        </a:xfrm>
        <a:prstGeom prst="rect">
          <a:avLst/>
        </a:prstGeom>
      </xdr:spPr>
    </xdr:pic>
    <xdr:clientData/>
  </xdr:twoCellAnchor>
  <xdr:twoCellAnchor editAs="oneCell">
    <xdr:from>
      <xdr:col>0</xdr:col>
      <xdr:colOff>581025</xdr:colOff>
      <xdr:row>53</xdr:row>
      <xdr:rowOff>104775</xdr:rowOff>
    </xdr:from>
    <xdr:to>
      <xdr:col>10</xdr:col>
      <xdr:colOff>361950</xdr:colOff>
      <xdr:row>80</xdr:row>
      <xdr:rowOff>85725</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4"/>
        <a:stretch>
          <a:fillRect/>
        </a:stretch>
      </xdr:blipFill>
      <xdr:spPr>
        <a:xfrm>
          <a:off x="581025" y="8943975"/>
          <a:ext cx="5876925" cy="4352925"/>
        </a:xfrm>
        <a:prstGeom prst="rect">
          <a:avLst/>
        </a:prstGeom>
      </xdr:spPr>
    </xdr:pic>
    <xdr:clientData/>
  </xdr:twoCellAnchor>
  <xdr:twoCellAnchor editAs="oneCell">
    <xdr:from>
      <xdr:col>1</xdr:col>
      <xdr:colOff>47625</xdr:colOff>
      <xdr:row>83</xdr:row>
      <xdr:rowOff>28575</xdr:rowOff>
    </xdr:from>
    <xdr:to>
      <xdr:col>10</xdr:col>
      <xdr:colOff>352425</xdr:colOff>
      <xdr:row>111</xdr:row>
      <xdr:rowOff>28575</xdr:rowOff>
    </xdr:to>
    <xdr:pic>
      <xdr:nvPicPr>
        <xdr:cNvPr id="7" name="Picture 6">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5"/>
        <a:stretch>
          <a:fillRect/>
        </a:stretch>
      </xdr:blipFill>
      <xdr:spPr>
        <a:xfrm>
          <a:off x="657225" y="13830300"/>
          <a:ext cx="5791200" cy="453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30</xdr:row>
      <xdr:rowOff>28575</xdr:rowOff>
    </xdr:from>
    <xdr:to>
      <xdr:col>7</xdr:col>
      <xdr:colOff>0</xdr:colOff>
      <xdr:row>47</xdr:row>
      <xdr:rowOff>28575</xdr:rowOff>
    </xdr:to>
    <xdr:sp macro="" textlink="">
      <xdr:nvSpPr>
        <xdr:cNvPr id="3112" name="Text Box 40">
          <a:extLst>
            <a:ext uri="{FF2B5EF4-FFF2-40B4-BE49-F238E27FC236}">
              <a16:creationId xmlns:a16="http://schemas.microsoft.com/office/drawing/2014/main" id="{00000000-0008-0000-0300-0000280C0000}"/>
            </a:ext>
          </a:extLst>
        </xdr:cNvPr>
        <xdr:cNvSpPr txBox="1">
          <a:spLocks noChangeArrowheads="1"/>
        </xdr:cNvSpPr>
      </xdr:nvSpPr>
      <xdr:spPr bwMode="auto">
        <a:xfrm>
          <a:off x="619125" y="5010150"/>
          <a:ext cx="4848225" cy="27527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FF0000"/>
              </a:solidFill>
              <a:latin typeface="Arial"/>
              <a:cs typeface="Arial"/>
            </a:rPr>
            <a:t>EXAMPLE-1:</a:t>
          </a:r>
          <a:r>
            <a:rPr lang="en-US" sz="1000" b="1" i="0" strike="noStrike">
              <a:solidFill>
                <a:srgbClr val="000000"/>
              </a:solidFill>
              <a:latin typeface="Arial"/>
              <a:cs typeface="Arial"/>
            </a:rPr>
            <a:t> SOLVE VECTOR PROBLEM WITH GOAL SEEK </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Design parameters can be optimized by using, Goal seek:</a:t>
          </a:r>
        </a:p>
        <a:p>
          <a:pPr algn="l" rtl="0">
            <a:defRPr sz="1000"/>
          </a:pPr>
          <a:endParaRPr lang="en-US" sz="1000" b="1"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Set the above horizontal vector, H = 12 (blue cell C22), vertical vector, V = 6 (yellow cell C23), the resultant, R = 13.42 (green cell C26) and angle, A = 26.57 (cell C28).</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Use "Goal Seek" to calculate the vertical force, V if the resultant, R is changed to 20 kips and the horizontal force, H remains unchanged at 12.0 kips.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Select the "live" formula cell above, (Green) C26.</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2. Select: Data</a:t>
          </a:r>
          <a:r>
            <a:rPr lang="en-US" sz="1000" b="0" i="0" strike="noStrike" baseline="0">
              <a:solidFill>
                <a:srgbClr val="000000"/>
              </a:solidFill>
              <a:latin typeface="Arial"/>
              <a:cs typeface="Arial"/>
            </a:rPr>
            <a:t> (or Tools)</a:t>
          </a:r>
          <a:r>
            <a:rPr lang="en-US" sz="1000" b="0" i="0" strike="noStrike">
              <a:solidFill>
                <a:srgbClr val="000000"/>
              </a:solidFill>
              <a:latin typeface="Arial"/>
              <a:cs typeface="Arial"/>
            </a:rPr>
            <a:t> &gt; What-If</a:t>
          </a:r>
          <a:r>
            <a:rPr lang="en-US" sz="1000" b="0" i="0" strike="noStrike" baseline="0">
              <a:solidFill>
                <a:srgbClr val="000000"/>
              </a:solidFill>
              <a:latin typeface="Arial"/>
              <a:cs typeface="Arial"/>
            </a:rPr>
            <a:t> Analysis &gt; </a:t>
          </a:r>
          <a:r>
            <a:rPr lang="en-US" sz="1000" b="0" i="0" strike="noStrike">
              <a:solidFill>
                <a:srgbClr val="000000"/>
              </a:solidFill>
              <a:latin typeface="Arial"/>
              <a:cs typeface="Arial"/>
            </a:rPr>
            <a:t>Goal Seek &gt; Pick "To value:" &gt; </a:t>
          </a:r>
          <a:r>
            <a:rPr lang="en-US" sz="1000" b="1" i="0" strike="noStrike">
              <a:solidFill>
                <a:srgbClr val="000000"/>
              </a:solidFill>
              <a:latin typeface="Arial"/>
              <a:cs typeface="Arial"/>
            </a:rPr>
            <a:t> 20</a:t>
          </a:r>
          <a:r>
            <a:rPr lang="en-US" sz="1000" b="0" i="0" strike="noStrike">
              <a:solidFill>
                <a:srgbClr val="000000"/>
              </a:solidFill>
              <a:latin typeface="Arial"/>
              <a:cs typeface="Arial"/>
            </a:rPr>
            <a:t> &gt; By changing: &gt; Pick number in the yellow cell, C23 &gt; OK.</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3. The resultant R is changed to 20.0 (cell C26) and V is changed to 16 (cell C23).</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1</xdr:col>
      <xdr:colOff>9525</xdr:colOff>
      <xdr:row>3</xdr:row>
      <xdr:rowOff>38100</xdr:rowOff>
    </xdr:from>
    <xdr:to>
      <xdr:col>6</xdr:col>
      <xdr:colOff>123825</xdr:colOff>
      <xdr:row>16</xdr:row>
      <xdr:rowOff>142875</xdr:rowOff>
    </xdr:to>
    <xdr:sp macro="" textlink="">
      <xdr:nvSpPr>
        <xdr:cNvPr id="3113" name="Text Box 41">
          <a:extLst>
            <a:ext uri="{FF2B5EF4-FFF2-40B4-BE49-F238E27FC236}">
              <a16:creationId xmlns:a16="http://schemas.microsoft.com/office/drawing/2014/main" id="{00000000-0008-0000-0300-0000290C0000}"/>
            </a:ext>
          </a:extLst>
        </xdr:cNvPr>
        <xdr:cNvSpPr txBox="1">
          <a:spLocks noChangeArrowheads="1"/>
        </xdr:cNvSpPr>
      </xdr:nvSpPr>
      <xdr:spPr bwMode="auto">
        <a:xfrm>
          <a:off x="619125" y="600075"/>
          <a:ext cx="4362450" cy="22098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Spread Sheet Method:</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Type in values for the </a:t>
          </a:r>
          <a:r>
            <a:rPr lang="en-US" sz="1000" b="0" i="0" strike="noStrike">
              <a:solidFill>
                <a:srgbClr val="FF0000"/>
              </a:solidFill>
              <a:latin typeface="Arial"/>
              <a:cs typeface="Arial"/>
            </a:rPr>
            <a:t>input</a:t>
          </a:r>
          <a:r>
            <a:rPr lang="en-US" sz="1000" b="0" i="0" strike="noStrike">
              <a:solidFill>
                <a:srgbClr val="000000"/>
              </a:solidFill>
              <a:latin typeface="Arial"/>
              <a:cs typeface="Arial"/>
            </a:rPr>
            <a:t> data.</a:t>
          </a:r>
        </a:p>
        <a:p>
          <a:pPr algn="l" rtl="0">
            <a:defRPr sz="1000"/>
          </a:pPr>
          <a:r>
            <a:rPr lang="en-US" sz="1000" b="0" i="0" strike="noStrike">
              <a:solidFill>
                <a:srgbClr val="000000"/>
              </a:solidFill>
              <a:latin typeface="Arial"/>
              <a:cs typeface="Arial"/>
            </a:rPr>
            <a:t>2. Excel will make the </a:t>
          </a:r>
          <a:r>
            <a:rPr lang="en-US" sz="1000" b="0" i="0" strike="noStrike">
              <a:solidFill>
                <a:srgbClr val="FF0000"/>
              </a:solidFill>
              <a:latin typeface="Arial"/>
              <a:cs typeface="Arial"/>
            </a:rPr>
            <a:t>calculations</a:t>
          </a:r>
          <a:r>
            <a:rPr lang="en-US" sz="1000" b="0" i="0" strike="noStrike">
              <a:solidFill>
                <a:srgbClr val="000000"/>
              </a:solidFill>
              <a:latin typeface="Arial"/>
              <a:cs typeface="Arial"/>
            </a:rPr>
            <a:t>.</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Excel's GOAL SEEK </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Excel's, "Goal Seek" adjusts one Input value to cause a Calculated formula cell to equal a given value.</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When using Excel's Goal Seek, unprotect the spread sheet by selecting: Drop down menu: Tools &gt; Protection &gt; Unprotect Sheet &gt; OK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When Excel's Goal Seek is not needed, restore protection with:</a:t>
          </a:r>
        </a:p>
        <a:p>
          <a:pPr algn="l" rtl="0">
            <a:defRPr sz="1000"/>
          </a:pPr>
          <a:r>
            <a:rPr lang="en-US" sz="1000" b="0" i="0" strike="noStrike">
              <a:solidFill>
                <a:srgbClr val="000000"/>
              </a:solidFill>
              <a:latin typeface="Arial"/>
              <a:cs typeface="Arial"/>
            </a:rPr>
            <a:t>Drop down menu: Tools &gt; Protection &gt; Protect Sheet &gt; OK </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0</xdr:col>
      <xdr:colOff>390525</xdr:colOff>
      <xdr:row>73</xdr:row>
      <xdr:rowOff>0</xdr:rowOff>
    </xdr:from>
    <xdr:to>
      <xdr:col>6</xdr:col>
      <xdr:colOff>571500</xdr:colOff>
      <xdr:row>83</xdr:row>
      <xdr:rowOff>152400</xdr:rowOff>
    </xdr:to>
    <xdr:sp macro="" textlink="">
      <xdr:nvSpPr>
        <xdr:cNvPr id="3114" name="Text Box 42">
          <a:extLst>
            <a:ext uri="{FF2B5EF4-FFF2-40B4-BE49-F238E27FC236}">
              <a16:creationId xmlns:a16="http://schemas.microsoft.com/office/drawing/2014/main" id="{00000000-0008-0000-0300-00002A0C0000}"/>
            </a:ext>
          </a:extLst>
        </xdr:cNvPr>
        <xdr:cNvSpPr txBox="1">
          <a:spLocks noChangeArrowheads="1"/>
        </xdr:cNvSpPr>
      </xdr:nvSpPr>
      <xdr:spPr bwMode="auto">
        <a:xfrm>
          <a:off x="390525" y="11944350"/>
          <a:ext cx="5038725" cy="17716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FF0000"/>
              </a:solidFill>
              <a:latin typeface="Arial"/>
              <a:cs typeface="Arial"/>
            </a:rPr>
            <a:t>PROBLEM-1:</a:t>
          </a:r>
          <a:r>
            <a:rPr lang="en-US" sz="1000" b="0" i="0" strike="noStrike">
              <a:solidFill>
                <a:srgbClr val="000000"/>
              </a:solidFill>
              <a:latin typeface="Arial"/>
              <a:cs typeface="Arial"/>
            </a:rPr>
            <a:t> </a:t>
          </a:r>
          <a:r>
            <a:rPr lang="en-US" sz="1000" b="1" i="0" strike="noStrike">
              <a:solidFill>
                <a:srgbClr val="000000"/>
              </a:solidFill>
              <a:latin typeface="Arial"/>
              <a:cs typeface="Arial"/>
            </a:rPr>
            <a:t>DETERMINE GUSSET STRENGTH WITH GOAL SEEK</a:t>
          </a:r>
        </a:p>
        <a:p>
          <a:pPr algn="l" rtl="0">
            <a:defRPr sz="1000"/>
          </a:pPr>
          <a:endParaRPr lang="en-US" sz="1000" b="1"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Two L4 x 3 x 3/8 inch angles made of ASTM A36 steel are connected to a 5/8 inch gusset plate, above. A36 steel has an ultimate strength, Su = 58 ksi and a yield stress, Sy = 36 ksi. (AISC code: load is in one leg of each angle, net angle area is only 85% effective)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Determine the allowable load, P for a safety factor of 2.0 if there are six 3/4 inch diameter bolts. Ans: 73 kips.</a:t>
          </a:r>
        </a:p>
        <a:p>
          <a:pPr algn="l" rtl="0">
            <a:defRPr sz="1000"/>
          </a:pPr>
          <a:r>
            <a:rPr lang="en-US" sz="1000" b="0" i="0" strike="noStrike">
              <a:solidFill>
                <a:srgbClr val="000000"/>
              </a:solidFill>
              <a:latin typeface="Arial"/>
              <a:cs typeface="Arial"/>
            </a:rPr>
            <a:t>2. Use, "Goal Seek" to find the bolt diameter, D for a net area strength, </a:t>
          </a:r>
        </a:p>
        <a:p>
          <a:pPr algn="l" rtl="0">
            <a:defRPr sz="1000"/>
          </a:pPr>
          <a:r>
            <a:rPr lang="en-US" sz="1000" b="0" i="0" strike="noStrike">
              <a:solidFill>
                <a:srgbClr val="000000"/>
              </a:solidFill>
              <a:latin typeface="Arial"/>
              <a:cs typeface="Arial"/>
            </a:rPr>
            <a:t>Ppt = 136 kips. Ans: 1.00 in dia. (Hint, pick live cell D128 first)</a:t>
          </a: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xdr:txBody>
    </xdr:sp>
    <xdr:clientData/>
  </xdr:twoCellAnchor>
  <xdr:twoCellAnchor>
    <xdr:from>
      <xdr:col>5</xdr:col>
      <xdr:colOff>152400</xdr:colOff>
      <xdr:row>104</xdr:row>
      <xdr:rowOff>0</xdr:rowOff>
    </xdr:from>
    <xdr:to>
      <xdr:col>7</xdr:col>
      <xdr:colOff>0</xdr:colOff>
      <xdr:row>117</xdr:row>
      <xdr:rowOff>152400</xdr:rowOff>
    </xdr:to>
    <xdr:sp macro="" textlink="">
      <xdr:nvSpPr>
        <xdr:cNvPr id="3115" name="Text Box 43">
          <a:extLst>
            <a:ext uri="{FF2B5EF4-FFF2-40B4-BE49-F238E27FC236}">
              <a16:creationId xmlns:a16="http://schemas.microsoft.com/office/drawing/2014/main" id="{00000000-0008-0000-0300-00002B0C0000}"/>
            </a:ext>
          </a:extLst>
        </xdr:cNvPr>
        <xdr:cNvSpPr txBox="1">
          <a:spLocks noChangeArrowheads="1"/>
        </xdr:cNvSpPr>
      </xdr:nvSpPr>
      <xdr:spPr bwMode="auto">
        <a:xfrm>
          <a:off x="4400550" y="17106900"/>
          <a:ext cx="1066800" cy="22574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1" i="0" strike="noStrike">
              <a:solidFill>
                <a:srgbClr val="000000"/>
              </a:solidFill>
              <a:latin typeface="Arial"/>
              <a:cs typeface="Arial"/>
            </a:rPr>
            <a:t>Fastener 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 Stresses are to be applied to nominal fastener diameter.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b Threads are include in the shear plane.</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c Threads are exclude from the shear plane.</a:t>
          </a:r>
        </a:p>
      </xdr:txBody>
    </xdr:sp>
    <xdr:clientData/>
  </xdr:twoCellAnchor>
  <xdr:twoCellAnchor editAs="oneCell">
    <xdr:from>
      <xdr:col>0</xdr:col>
      <xdr:colOff>95250</xdr:colOff>
      <xdr:row>54</xdr:row>
      <xdr:rowOff>76200</xdr:rowOff>
    </xdr:from>
    <xdr:to>
      <xdr:col>7</xdr:col>
      <xdr:colOff>66675</xdr:colOff>
      <xdr:row>72</xdr:row>
      <xdr:rowOff>123825</xdr:rowOff>
    </xdr:to>
    <xdr:pic>
      <xdr:nvPicPr>
        <xdr:cNvPr id="3956" name="Picture 44" descr="GUSSTE-PLATE">
          <a:extLst>
            <a:ext uri="{FF2B5EF4-FFF2-40B4-BE49-F238E27FC236}">
              <a16:creationId xmlns:a16="http://schemas.microsoft.com/office/drawing/2014/main" id="{00000000-0008-0000-0300-0000740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943975"/>
          <a:ext cx="5438775"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447675</xdr:colOff>
      <xdr:row>19</xdr:row>
      <xdr:rowOff>57150</xdr:rowOff>
    </xdr:from>
    <xdr:to>
      <xdr:col>6</xdr:col>
      <xdr:colOff>438150</xdr:colOff>
      <xdr:row>28</xdr:row>
      <xdr:rowOff>76200</xdr:rowOff>
    </xdr:to>
    <xdr:pic>
      <xdr:nvPicPr>
        <xdr:cNvPr id="3957" name="Picture 45" descr="FORCE-VECTORS">
          <a:extLst>
            <a:ext uri="{FF2B5EF4-FFF2-40B4-BE49-F238E27FC236}">
              <a16:creationId xmlns:a16="http://schemas.microsoft.com/office/drawing/2014/main" id="{00000000-0008-0000-0300-000075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57550" y="3209925"/>
          <a:ext cx="20383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561975</xdr:colOff>
      <xdr:row>29</xdr:row>
      <xdr:rowOff>9525</xdr:rowOff>
    </xdr:from>
    <xdr:to>
      <xdr:col>11</xdr:col>
      <xdr:colOff>9525</xdr:colOff>
      <xdr:row>37</xdr:row>
      <xdr:rowOff>104775</xdr:rowOff>
    </xdr:to>
    <xdr:pic>
      <xdr:nvPicPr>
        <xdr:cNvPr id="7" name="Picture 6">
          <a:extLst>
            <a:ext uri="{FF2B5EF4-FFF2-40B4-BE49-F238E27FC236}">
              <a16:creationId xmlns:a16="http://schemas.microsoft.com/office/drawing/2014/main" id="{8EFDE196-BB6D-FBC1-2DC5-643B445557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29325" y="4829175"/>
          <a:ext cx="2009775" cy="1390650"/>
        </a:xfrm>
        <a:prstGeom prst="rect">
          <a:avLst/>
        </a:prstGeom>
      </xdr:spPr>
    </xdr:pic>
    <xdr:clientData/>
  </xdr:twoCellAnchor>
  <xdr:twoCellAnchor editAs="oneCell">
    <xdr:from>
      <xdr:col>7</xdr:col>
      <xdr:colOff>333375</xdr:colOff>
      <xdr:row>38</xdr:row>
      <xdr:rowOff>28575</xdr:rowOff>
    </xdr:from>
    <xdr:to>
      <xdr:col>11</xdr:col>
      <xdr:colOff>238125</xdr:colOff>
      <xdr:row>46</xdr:row>
      <xdr:rowOff>152400</xdr:rowOff>
    </xdr:to>
    <xdr:pic>
      <xdr:nvPicPr>
        <xdr:cNvPr id="9" name="Picture 8">
          <a:extLst>
            <a:ext uri="{FF2B5EF4-FFF2-40B4-BE49-F238E27FC236}">
              <a16:creationId xmlns:a16="http://schemas.microsoft.com/office/drawing/2014/main" id="{FC7B2F02-3A01-7312-59C5-F0FFAF96C12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00725" y="6305550"/>
          <a:ext cx="2466975" cy="1419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8"/>
  <sheetViews>
    <sheetView tabSelected="1" zoomScaleNormal="100" workbookViewId="0">
      <selection activeCell="J323" sqref="J323"/>
    </sheetView>
  </sheetViews>
  <sheetFormatPr defaultRowHeight="12.75" x14ac:dyDescent="0.2"/>
  <cols>
    <col min="1" max="1" width="7.140625" customWidth="1"/>
    <col min="3" max="3" width="17.140625" customWidth="1"/>
    <col min="4" max="4" width="21.140625" customWidth="1"/>
    <col min="5" max="5" width="8" customWidth="1"/>
    <col min="6" max="6" width="9.28515625" bestFit="1" customWidth="1"/>
    <col min="7" max="7" width="8.85546875" customWidth="1"/>
    <col min="8" max="8" width="10" customWidth="1"/>
    <col min="9" max="9" width="8.42578125" customWidth="1"/>
    <col min="11" max="11" width="37" style="2" customWidth="1"/>
    <col min="12" max="12" width="20.5703125" style="3" customWidth="1"/>
    <col min="13" max="13" width="11.42578125" customWidth="1"/>
  </cols>
  <sheetData>
    <row r="1" spans="1:18" ht="15.75" x14ac:dyDescent="0.25">
      <c r="A1" s="126" t="s">
        <v>312</v>
      </c>
      <c r="I1" s="73"/>
      <c r="J1" s="73"/>
      <c r="K1" s="91"/>
      <c r="L1" s="85"/>
      <c r="M1" s="73"/>
      <c r="N1" s="73"/>
      <c r="O1" s="73"/>
      <c r="P1" s="73"/>
      <c r="Q1" s="73"/>
      <c r="R1" s="73"/>
    </row>
    <row r="2" spans="1:18" x14ac:dyDescent="0.2">
      <c r="B2" s="1" t="s">
        <v>343</v>
      </c>
      <c r="E2" s="1"/>
      <c r="I2" s="73"/>
      <c r="J2" s="73"/>
      <c r="K2" s="91"/>
      <c r="L2" s="85"/>
      <c r="M2" s="73"/>
      <c r="N2" s="73"/>
      <c r="O2" s="73"/>
      <c r="P2" s="73"/>
      <c r="Q2" s="73"/>
      <c r="R2" s="73"/>
    </row>
    <row r="3" spans="1:18" ht="15.75" x14ac:dyDescent="0.25">
      <c r="B3" s="126" t="s">
        <v>93</v>
      </c>
      <c r="I3" s="73"/>
      <c r="J3" s="73"/>
      <c r="K3" s="91"/>
      <c r="L3" s="85"/>
      <c r="M3" s="73"/>
      <c r="N3" s="73"/>
      <c r="O3" s="73"/>
      <c r="P3" s="73"/>
      <c r="Q3" s="73"/>
      <c r="R3" s="73"/>
    </row>
    <row r="4" spans="1:18" x14ac:dyDescent="0.2">
      <c r="I4" s="73"/>
      <c r="J4" s="73"/>
      <c r="K4" s="91"/>
      <c r="L4" s="85"/>
      <c r="M4" s="73"/>
      <c r="N4" s="73"/>
      <c r="O4" s="73"/>
      <c r="P4" s="73"/>
      <c r="Q4" s="73"/>
      <c r="R4" s="73"/>
    </row>
    <row r="5" spans="1:18" x14ac:dyDescent="0.2">
      <c r="I5" s="73"/>
      <c r="J5" s="73"/>
      <c r="K5" s="91"/>
      <c r="L5" s="85"/>
      <c r="M5" s="73"/>
      <c r="N5" s="73"/>
      <c r="O5" s="73"/>
      <c r="P5" s="73"/>
      <c r="Q5" s="73"/>
      <c r="R5" s="73"/>
    </row>
    <row r="6" spans="1:18" x14ac:dyDescent="0.2">
      <c r="I6" s="73"/>
      <c r="J6" s="73"/>
      <c r="K6" s="91"/>
      <c r="L6" s="85"/>
      <c r="M6" s="73"/>
      <c r="N6" s="73"/>
      <c r="O6" s="73"/>
      <c r="P6" s="73"/>
      <c r="Q6" s="73"/>
      <c r="R6" s="73"/>
    </row>
    <row r="7" spans="1:18" x14ac:dyDescent="0.2">
      <c r="I7" s="73"/>
      <c r="J7" s="73"/>
      <c r="K7" s="91"/>
      <c r="L7" s="85"/>
      <c r="M7" s="73"/>
      <c r="N7" s="73"/>
      <c r="O7" s="73"/>
      <c r="P7" s="73"/>
      <c r="Q7" s="73"/>
      <c r="R7" s="73"/>
    </row>
    <row r="8" spans="1:18" x14ac:dyDescent="0.2">
      <c r="I8" s="73"/>
      <c r="J8" s="73"/>
      <c r="K8" s="91"/>
      <c r="L8" s="85"/>
      <c r="M8" s="73"/>
      <c r="N8" s="73"/>
      <c r="O8" s="73"/>
      <c r="P8" s="73"/>
      <c r="Q8" s="73"/>
      <c r="R8" s="73"/>
    </row>
    <row r="9" spans="1:18" x14ac:dyDescent="0.2">
      <c r="I9" s="73"/>
      <c r="J9" s="73"/>
      <c r="K9" s="91"/>
      <c r="L9" s="85"/>
      <c r="M9" s="73"/>
      <c r="N9" s="73"/>
      <c r="O9" s="73"/>
      <c r="P9" s="73"/>
      <c r="Q9" s="73"/>
      <c r="R9" s="73"/>
    </row>
    <row r="10" spans="1:18" x14ac:dyDescent="0.2">
      <c r="I10" s="73"/>
      <c r="J10" s="73"/>
      <c r="K10" s="91"/>
      <c r="L10" s="85"/>
      <c r="M10" s="73"/>
      <c r="N10" s="73"/>
      <c r="O10" s="73"/>
      <c r="P10" s="73"/>
      <c r="Q10" s="73"/>
      <c r="R10" s="73"/>
    </row>
    <row r="11" spans="1:18" x14ac:dyDescent="0.2">
      <c r="I11" s="73"/>
      <c r="J11" s="73"/>
      <c r="K11" s="91"/>
      <c r="L11" s="85"/>
      <c r="M11" s="73"/>
      <c r="N11" s="73"/>
      <c r="O11" s="73"/>
      <c r="P11" s="73"/>
      <c r="Q11" s="73"/>
      <c r="R11" s="73"/>
    </row>
    <row r="12" spans="1:18" x14ac:dyDescent="0.2">
      <c r="I12" s="73"/>
      <c r="J12" s="73"/>
      <c r="K12" s="91"/>
      <c r="L12" s="85"/>
      <c r="M12" s="73"/>
      <c r="N12" s="73"/>
      <c r="O12" s="73"/>
      <c r="P12" s="73"/>
      <c r="Q12" s="73"/>
      <c r="R12" s="73"/>
    </row>
    <row r="13" spans="1:18" x14ac:dyDescent="0.2">
      <c r="I13" s="73"/>
      <c r="J13" s="73"/>
      <c r="K13" s="91"/>
      <c r="L13" s="85"/>
      <c r="M13" s="73"/>
      <c r="N13" s="73"/>
      <c r="O13" s="73"/>
      <c r="P13" s="73"/>
      <c r="Q13" s="73"/>
      <c r="R13" s="73"/>
    </row>
    <row r="14" spans="1:18" x14ac:dyDescent="0.2">
      <c r="I14" s="73"/>
      <c r="J14" s="73"/>
      <c r="K14" s="91"/>
      <c r="L14" s="85"/>
      <c r="M14" s="73"/>
      <c r="N14" s="73"/>
      <c r="O14" s="73"/>
      <c r="P14" s="73"/>
      <c r="Q14" s="73"/>
      <c r="R14" s="73"/>
    </row>
    <row r="15" spans="1:18" x14ac:dyDescent="0.2">
      <c r="I15" s="73"/>
      <c r="J15" s="73"/>
      <c r="K15" s="91"/>
      <c r="L15" s="85"/>
      <c r="M15" s="73"/>
      <c r="N15" s="73"/>
      <c r="O15" s="73"/>
      <c r="P15" s="73"/>
      <c r="Q15" s="73"/>
      <c r="R15" s="73"/>
    </row>
    <row r="16" spans="1:18" x14ac:dyDescent="0.2">
      <c r="I16" s="73"/>
      <c r="J16" s="73"/>
      <c r="K16" s="91"/>
      <c r="L16" s="85"/>
      <c r="M16" s="73"/>
      <c r="N16" s="73"/>
      <c r="O16" s="73"/>
      <c r="P16" s="73"/>
      <c r="Q16" s="73"/>
      <c r="R16" s="73"/>
    </row>
    <row r="17" spans="9:18" x14ac:dyDescent="0.2">
      <c r="I17" s="73"/>
      <c r="J17" s="73"/>
      <c r="K17" s="91"/>
      <c r="L17" s="85"/>
      <c r="M17" s="73"/>
      <c r="N17" s="73"/>
      <c r="O17" s="73"/>
      <c r="P17" s="73"/>
      <c r="Q17" s="73"/>
      <c r="R17" s="73"/>
    </row>
    <row r="18" spans="9:18" x14ac:dyDescent="0.2">
      <c r="I18" s="73"/>
      <c r="J18" s="73"/>
      <c r="K18" s="91"/>
      <c r="L18" s="85"/>
      <c r="M18" s="73"/>
      <c r="N18" s="73"/>
      <c r="O18" s="73"/>
      <c r="P18" s="73"/>
      <c r="Q18" s="73"/>
      <c r="R18" s="73"/>
    </row>
    <row r="19" spans="9:18" x14ac:dyDescent="0.2">
      <c r="I19" s="73"/>
      <c r="J19" s="73"/>
      <c r="K19" s="91"/>
      <c r="L19" s="85"/>
      <c r="M19" s="73"/>
      <c r="N19" s="73"/>
      <c r="O19" s="73"/>
      <c r="P19" s="73"/>
      <c r="Q19" s="73"/>
      <c r="R19" s="73"/>
    </row>
    <row r="20" spans="9:18" x14ac:dyDescent="0.2">
      <c r="I20" s="73"/>
      <c r="J20" s="73"/>
      <c r="K20" s="91"/>
      <c r="L20" s="85"/>
      <c r="M20" s="73"/>
      <c r="N20" s="73"/>
      <c r="O20" s="73"/>
      <c r="P20" s="73"/>
      <c r="Q20" s="73"/>
      <c r="R20" s="73"/>
    </row>
    <row r="21" spans="9:18" x14ac:dyDescent="0.2">
      <c r="I21" s="73"/>
      <c r="J21" s="73"/>
      <c r="K21" s="91"/>
      <c r="L21" s="85"/>
      <c r="M21" s="73"/>
      <c r="N21" s="73"/>
      <c r="O21" s="73"/>
      <c r="P21" s="73"/>
      <c r="Q21" s="73"/>
      <c r="R21" s="73"/>
    </row>
    <row r="22" spans="9:18" x14ac:dyDescent="0.2">
      <c r="I22" s="73"/>
      <c r="J22" s="73"/>
      <c r="K22" s="91"/>
      <c r="L22" s="85"/>
      <c r="M22" s="73"/>
      <c r="N22" s="73"/>
      <c r="O22" s="73"/>
      <c r="P22" s="73"/>
      <c r="Q22" s="73"/>
      <c r="R22" s="73"/>
    </row>
    <row r="23" spans="9:18" x14ac:dyDescent="0.2">
      <c r="I23" s="73"/>
      <c r="J23" s="73"/>
      <c r="K23" s="91"/>
      <c r="L23" s="85"/>
      <c r="M23" s="73"/>
      <c r="N23" s="73"/>
      <c r="O23" s="73"/>
      <c r="P23" s="73"/>
      <c r="Q23" s="73"/>
      <c r="R23" s="73"/>
    </row>
    <row r="24" spans="9:18" x14ac:dyDescent="0.2">
      <c r="I24" s="73"/>
      <c r="J24" s="73"/>
      <c r="K24" s="91"/>
      <c r="L24" s="85"/>
      <c r="M24" s="73"/>
      <c r="N24" s="73"/>
      <c r="O24" s="73"/>
      <c r="P24" s="73"/>
      <c r="Q24" s="73"/>
      <c r="R24" s="73"/>
    </row>
    <row r="25" spans="9:18" x14ac:dyDescent="0.2">
      <c r="I25" s="73"/>
      <c r="J25" s="73"/>
      <c r="K25" s="91"/>
      <c r="L25" s="85"/>
      <c r="M25" s="73"/>
      <c r="N25" s="73"/>
      <c r="O25" s="73"/>
      <c r="P25" s="73"/>
      <c r="Q25" s="73"/>
      <c r="R25" s="73"/>
    </row>
    <row r="26" spans="9:18" x14ac:dyDescent="0.2">
      <c r="I26" s="73"/>
      <c r="J26" s="73"/>
      <c r="K26" s="91"/>
      <c r="L26" s="85"/>
      <c r="M26" s="73"/>
      <c r="N26" s="73"/>
      <c r="O26" s="73"/>
      <c r="P26" s="73"/>
      <c r="Q26" s="73"/>
      <c r="R26" s="73"/>
    </row>
    <row r="27" spans="9:18" x14ac:dyDescent="0.2">
      <c r="I27" s="73"/>
      <c r="J27" s="73"/>
      <c r="K27" s="91"/>
      <c r="L27" s="85"/>
      <c r="M27" s="73"/>
      <c r="N27" s="73"/>
      <c r="O27" s="73"/>
      <c r="P27" s="73"/>
      <c r="Q27" s="73"/>
      <c r="R27" s="73"/>
    </row>
    <row r="28" spans="9:18" x14ac:dyDescent="0.2">
      <c r="I28" s="73"/>
      <c r="J28" s="73"/>
      <c r="K28" s="91"/>
      <c r="L28" s="85"/>
      <c r="M28" s="73"/>
      <c r="N28" s="73"/>
      <c r="O28" s="73"/>
      <c r="P28" s="73"/>
      <c r="Q28" s="73"/>
      <c r="R28" s="73"/>
    </row>
    <row r="29" spans="9:18" x14ac:dyDescent="0.2">
      <c r="I29" s="73"/>
      <c r="J29" s="73"/>
      <c r="K29" s="91"/>
      <c r="L29" s="85"/>
      <c r="M29" s="73"/>
      <c r="N29" s="73"/>
      <c r="O29" s="73"/>
      <c r="P29" s="73"/>
      <c r="Q29" s="73"/>
      <c r="R29" s="73"/>
    </row>
    <row r="30" spans="9:18" x14ac:dyDescent="0.2">
      <c r="I30" s="73"/>
      <c r="J30" s="73"/>
      <c r="K30" s="91"/>
      <c r="L30" s="85"/>
      <c r="M30" s="73"/>
      <c r="N30" s="73"/>
      <c r="O30" s="73"/>
      <c r="P30" s="73"/>
      <c r="Q30" s="73"/>
      <c r="R30" s="73"/>
    </row>
    <row r="31" spans="9:18" x14ac:dyDescent="0.2">
      <c r="I31" s="73"/>
      <c r="J31" s="73"/>
      <c r="K31" s="91"/>
      <c r="L31" s="85"/>
      <c r="M31" s="73"/>
      <c r="N31" s="73"/>
      <c r="O31" s="73"/>
      <c r="P31" s="73"/>
      <c r="Q31" s="73"/>
      <c r="R31" s="73"/>
    </row>
    <row r="32" spans="9:18" x14ac:dyDescent="0.2">
      <c r="I32" s="73"/>
      <c r="J32" s="73"/>
      <c r="K32" s="91"/>
      <c r="L32" s="85"/>
      <c r="M32" s="73"/>
      <c r="N32" s="73"/>
      <c r="O32" s="73"/>
      <c r="P32" s="73"/>
      <c r="Q32" s="73"/>
      <c r="R32" s="73"/>
    </row>
    <row r="33" spans="9:18" x14ac:dyDescent="0.2">
      <c r="I33" s="73"/>
      <c r="J33" s="73"/>
      <c r="K33" s="91"/>
      <c r="L33" s="85"/>
      <c r="M33" s="73"/>
      <c r="N33" s="73"/>
      <c r="O33" s="73"/>
      <c r="P33" s="73"/>
      <c r="Q33" s="73"/>
      <c r="R33" s="73"/>
    </row>
    <row r="34" spans="9:18" x14ac:dyDescent="0.2">
      <c r="I34" s="73"/>
      <c r="J34" s="73"/>
      <c r="K34" s="91"/>
      <c r="L34" s="85"/>
      <c r="M34" s="73"/>
      <c r="N34" s="73"/>
      <c r="O34" s="73"/>
      <c r="P34" s="73"/>
      <c r="Q34" s="73"/>
      <c r="R34" s="73"/>
    </row>
    <row r="35" spans="9:18" x14ac:dyDescent="0.2">
      <c r="I35" s="73"/>
      <c r="J35" s="73"/>
      <c r="K35" s="91"/>
      <c r="L35" s="85"/>
      <c r="M35" s="73"/>
      <c r="N35" s="73"/>
      <c r="O35" s="73"/>
      <c r="P35" s="73"/>
      <c r="Q35" s="73"/>
      <c r="R35" s="73"/>
    </row>
    <row r="36" spans="9:18" x14ac:dyDescent="0.2">
      <c r="I36" s="73"/>
      <c r="J36" s="73"/>
      <c r="K36" s="91"/>
      <c r="L36" s="85"/>
      <c r="M36" s="73"/>
      <c r="N36" s="73"/>
      <c r="O36" s="73"/>
      <c r="P36" s="73"/>
      <c r="Q36" s="73"/>
      <c r="R36" s="73"/>
    </row>
    <row r="37" spans="9:18" x14ac:dyDescent="0.2">
      <c r="I37" s="73"/>
      <c r="J37" s="73"/>
      <c r="K37" s="91"/>
      <c r="L37" s="85"/>
      <c r="M37" s="73"/>
      <c r="N37" s="73"/>
      <c r="O37" s="73"/>
      <c r="P37" s="73"/>
      <c r="Q37" s="73"/>
      <c r="R37" s="73"/>
    </row>
    <row r="38" spans="9:18" x14ac:dyDescent="0.2">
      <c r="I38" s="73"/>
      <c r="J38" s="73"/>
      <c r="K38" s="91"/>
      <c r="L38" s="85"/>
      <c r="M38" s="73"/>
      <c r="N38" s="73"/>
      <c r="O38" s="73"/>
      <c r="P38" s="73"/>
      <c r="Q38" s="73"/>
      <c r="R38" s="73"/>
    </row>
    <row r="39" spans="9:18" x14ac:dyDescent="0.2">
      <c r="I39" s="73"/>
      <c r="J39" s="73"/>
      <c r="K39" s="91"/>
      <c r="L39" s="85"/>
      <c r="M39" s="73"/>
      <c r="N39" s="73"/>
      <c r="O39" s="73"/>
      <c r="P39" s="73"/>
      <c r="Q39" s="73"/>
      <c r="R39" s="73"/>
    </row>
    <row r="40" spans="9:18" x14ac:dyDescent="0.2">
      <c r="I40" s="73"/>
      <c r="J40" s="73"/>
      <c r="K40" s="91"/>
      <c r="L40" s="85"/>
      <c r="M40" s="73"/>
      <c r="N40" s="73"/>
      <c r="O40" s="73"/>
      <c r="P40" s="73"/>
      <c r="Q40" s="73"/>
      <c r="R40" s="73"/>
    </row>
    <row r="41" spans="9:18" x14ac:dyDescent="0.2">
      <c r="I41" s="73"/>
      <c r="J41" s="73"/>
      <c r="K41" s="91"/>
      <c r="L41" s="85"/>
      <c r="M41" s="73"/>
      <c r="N41" s="73"/>
      <c r="O41" s="73"/>
      <c r="P41" s="73"/>
      <c r="Q41" s="73"/>
      <c r="R41" s="73"/>
    </row>
    <row r="42" spans="9:18" x14ac:dyDescent="0.2">
      <c r="I42" s="73"/>
      <c r="J42" s="73"/>
      <c r="K42" s="91"/>
      <c r="L42" s="85"/>
      <c r="M42" s="73"/>
      <c r="N42" s="73"/>
      <c r="O42" s="73"/>
      <c r="P42" s="73"/>
      <c r="Q42" s="73"/>
      <c r="R42" s="73"/>
    </row>
    <row r="43" spans="9:18" x14ac:dyDescent="0.2">
      <c r="I43" s="73"/>
      <c r="J43" s="73"/>
      <c r="K43" s="91"/>
      <c r="L43" s="85"/>
      <c r="M43" s="73"/>
      <c r="N43" s="73"/>
      <c r="O43" s="73"/>
      <c r="P43" s="73"/>
      <c r="Q43" s="73"/>
      <c r="R43" s="73"/>
    </row>
    <row r="44" spans="9:18" x14ac:dyDescent="0.2">
      <c r="I44" s="73"/>
      <c r="J44" s="73"/>
      <c r="K44" s="91"/>
      <c r="L44" s="85"/>
      <c r="M44" s="73"/>
      <c r="N44" s="73"/>
      <c r="O44" s="73"/>
      <c r="P44" s="73"/>
      <c r="Q44" s="73"/>
      <c r="R44" s="73"/>
    </row>
    <row r="45" spans="9:18" x14ac:dyDescent="0.2">
      <c r="I45" s="73"/>
      <c r="J45" s="73"/>
      <c r="K45" s="91"/>
      <c r="L45" s="85"/>
      <c r="M45" s="73"/>
      <c r="N45" s="73"/>
      <c r="O45" s="73"/>
      <c r="P45" s="73"/>
      <c r="Q45" s="73"/>
      <c r="R45" s="73"/>
    </row>
    <row r="46" spans="9:18" x14ac:dyDescent="0.2">
      <c r="I46" s="73"/>
      <c r="J46" s="73"/>
      <c r="K46" s="91"/>
      <c r="L46" s="85"/>
      <c r="M46" s="73"/>
      <c r="N46" s="73"/>
      <c r="O46" s="73"/>
      <c r="P46" s="73"/>
      <c r="Q46" s="73"/>
      <c r="R46" s="73"/>
    </row>
    <row r="47" spans="9:18" x14ac:dyDescent="0.2">
      <c r="I47" s="73"/>
      <c r="J47" s="73"/>
      <c r="K47" s="91"/>
      <c r="L47" s="85"/>
      <c r="M47" s="73"/>
      <c r="N47" s="73"/>
      <c r="O47" s="73"/>
      <c r="P47" s="73"/>
      <c r="Q47" s="73"/>
      <c r="R47" s="73"/>
    </row>
    <row r="48" spans="9:18" x14ac:dyDescent="0.2">
      <c r="I48" s="73"/>
      <c r="J48" s="73"/>
      <c r="K48" s="91"/>
      <c r="L48" s="85"/>
      <c r="M48" s="73"/>
      <c r="N48" s="73"/>
      <c r="O48" s="73"/>
      <c r="P48" s="73"/>
      <c r="Q48" s="73"/>
      <c r="R48" s="73"/>
    </row>
    <row r="49" spans="9:18" x14ac:dyDescent="0.2">
      <c r="I49" s="73"/>
      <c r="J49" s="73"/>
      <c r="K49" s="91"/>
      <c r="L49" s="85"/>
      <c r="M49" s="73"/>
      <c r="N49" s="73"/>
      <c r="O49" s="73"/>
      <c r="P49" s="73"/>
      <c r="Q49" s="73"/>
      <c r="R49" s="73"/>
    </row>
    <row r="50" spans="9:18" x14ac:dyDescent="0.2">
      <c r="I50" s="73"/>
      <c r="J50" s="73"/>
      <c r="K50" s="91"/>
      <c r="L50" s="85"/>
      <c r="M50" s="73"/>
      <c r="N50" s="73"/>
      <c r="O50" s="73"/>
      <c r="P50" s="73"/>
      <c r="Q50" s="73"/>
      <c r="R50" s="73"/>
    </row>
    <row r="51" spans="9:18" x14ac:dyDescent="0.2">
      <c r="I51" s="83"/>
      <c r="J51" s="73"/>
      <c r="K51" s="91"/>
      <c r="L51" s="85"/>
      <c r="M51" s="73"/>
      <c r="N51" s="73"/>
      <c r="O51" s="73"/>
      <c r="P51" s="73"/>
      <c r="Q51" s="73"/>
      <c r="R51" s="73"/>
    </row>
    <row r="52" spans="9:18" x14ac:dyDescent="0.2">
      <c r="I52" s="73"/>
      <c r="J52" s="73"/>
      <c r="K52" s="91"/>
      <c r="L52" s="85"/>
      <c r="M52" s="73"/>
      <c r="N52" s="73"/>
      <c r="O52" s="73"/>
      <c r="P52" s="73"/>
      <c r="Q52" s="73"/>
      <c r="R52" s="73"/>
    </row>
    <row r="53" spans="9:18" x14ac:dyDescent="0.2">
      <c r="I53" s="73"/>
      <c r="J53" s="73"/>
      <c r="K53" s="91"/>
      <c r="L53" s="85"/>
      <c r="M53" s="73"/>
      <c r="N53" s="73"/>
      <c r="O53" s="73"/>
      <c r="P53" s="73"/>
      <c r="Q53" s="73"/>
      <c r="R53" s="73"/>
    </row>
    <row r="54" spans="9:18" x14ac:dyDescent="0.2">
      <c r="I54" s="73"/>
      <c r="J54" s="73"/>
      <c r="K54" s="91"/>
      <c r="L54" s="85"/>
      <c r="M54" s="73"/>
      <c r="N54" s="73"/>
      <c r="O54" s="73"/>
      <c r="P54" s="73"/>
      <c r="Q54" s="73"/>
      <c r="R54" s="73"/>
    </row>
    <row r="55" spans="9:18" x14ac:dyDescent="0.2">
      <c r="I55" s="73"/>
      <c r="J55" s="73"/>
      <c r="K55" s="91"/>
      <c r="L55" s="85"/>
      <c r="M55" s="73"/>
      <c r="N55" s="73"/>
      <c r="O55" s="73"/>
      <c r="P55" s="73"/>
      <c r="Q55" s="73"/>
      <c r="R55" s="73"/>
    </row>
    <row r="56" spans="9:18" x14ac:dyDescent="0.2">
      <c r="I56" s="73"/>
      <c r="J56" s="73"/>
      <c r="K56" s="91"/>
      <c r="L56" s="85"/>
      <c r="M56" s="73"/>
      <c r="N56" s="73"/>
      <c r="O56" s="73"/>
      <c r="P56" s="73"/>
      <c r="Q56" s="73"/>
      <c r="R56" s="73"/>
    </row>
    <row r="57" spans="9:18" x14ac:dyDescent="0.2">
      <c r="I57" s="73"/>
      <c r="J57" s="73"/>
      <c r="K57" s="91"/>
      <c r="L57" s="85"/>
      <c r="M57" s="73"/>
      <c r="N57" s="73"/>
      <c r="O57" s="73"/>
      <c r="P57" s="73"/>
      <c r="Q57" s="73"/>
      <c r="R57" s="73"/>
    </row>
    <row r="58" spans="9:18" x14ac:dyDescent="0.2">
      <c r="I58" s="73"/>
      <c r="J58" s="73"/>
      <c r="K58" s="91"/>
      <c r="L58" s="85"/>
      <c r="M58" s="73"/>
      <c r="N58" s="73"/>
      <c r="O58" s="73"/>
      <c r="P58" s="73"/>
      <c r="Q58" s="73"/>
      <c r="R58" s="73"/>
    </row>
    <row r="59" spans="9:18" x14ac:dyDescent="0.2">
      <c r="I59" s="73"/>
      <c r="J59" s="73"/>
      <c r="K59" s="91"/>
      <c r="L59" s="85"/>
      <c r="M59" s="73"/>
      <c r="N59" s="73"/>
      <c r="O59" s="73"/>
      <c r="P59" s="73"/>
      <c r="Q59" s="73"/>
      <c r="R59" s="73"/>
    </row>
    <row r="60" spans="9:18" x14ac:dyDescent="0.2">
      <c r="I60" s="73"/>
      <c r="J60" s="73"/>
      <c r="K60" s="91"/>
      <c r="L60" s="85"/>
      <c r="M60" s="73"/>
      <c r="N60" s="73"/>
      <c r="O60" s="73"/>
      <c r="P60" s="73"/>
      <c r="Q60" s="73"/>
      <c r="R60" s="73"/>
    </row>
    <row r="61" spans="9:18" x14ac:dyDescent="0.2">
      <c r="I61" s="73"/>
      <c r="J61" s="73"/>
      <c r="K61" s="91"/>
      <c r="L61" s="85"/>
      <c r="M61" s="73"/>
      <c r="N61" s="73"/>
      <c r="O61" s="73"/>
      <c r="P61" s="73"/>
      <c r="Q61" s="73"/>
      <c r="R61" s="73"/>
    </row>
    <row r="62" spans="9:18" x14ac:dyDescent="0.2">
      <c r="I62" s="73"/>
      <c r="J62" s="73"/>
      <c r="K62" s="91"/>
      <c r="L62" s="85"/>
      <c r="M62" s="73"/>
      <c r="N62" s="73"/>
      <c r="O62" s="73"/>
      <c r="P62" s="73"/>
      <c r="Q62" s="73"/>
      <c r="R62" s="73"/>
    </row>
    <row r="63" spans="9:18" x14ac:dyDescent="0.2">
      <c r="I63" s="73"/>
      <c r="J63" s="73"/>
      <c r="K63" s="91"/>
      <c r="L63" s="85"/>
      <c r="M63" s="73"/>
      <c r="N63" s="73"/>
      <c r="O63" s="73"/>
      <c r="P63" s="73"/>
      <c r="Q63" s="73"/>
      <c r="R63" s="73"/>
    </row>
    <row r="64" spans="9:18" x14ac:dyDescent="0.2">
      <c r="I64" s="73"/>
      <c r="J64" s="73"/>
      <c r="K64" s="91"/>
      <c r="L64" s="85"/>
      <c r="M64" s="73"/>
      <c r="N64" s="73"/>
      <c r="O64" s="73"/>
      <c r="P64" s="73"/>
      <c r="Q64" s="73"/>
      <c r="R64" s="73"/>
    </row>
    <row r="65" spans="9:18" x14ac:dyDescent="0.2">
      <c r="I65" s="73"/>
      <c r="J65" s="73"/>
      <c r="K65" s="91"/>
      <c r="L65" s="85"/>
      <c r="M65" s="73"/>
      <c r="N65" s="73"/>
      <c r="O65" s="73"/>
      <c r="P65" s="73"/>
      <c r="Q65" s="73"/>
      <c r="R65" s="73"/>
    </row>
    <row r="66" spans="9:18" x14ac:dyDescent="0.2">
      <c r="I66" s="73"/>
      <c r="J66" s="73"/>
      <c r="K66" s="91"/>
      <c r="L66" s="85"/>
      <c r="M66" s="73"/>
      <c r="N66" s="73"/>
      <c r="O66" s="73"/>
      <c r="P66" s="73"/>
      <c r="Q66" s="73"/>
      <c r="R66" s="73"/>
    </row>
    <row r="67" spans="9:18" x14ac:dyDescent="0.2">
      <c r="I67" s="73"/>
      <c r="J67" s="73"/>
      <c r="K67" s="91"/>
      <c r="L67" s="85"/>
      <c r="M67" s="73"/>
      <c r="N67" s="73"/>
      <c r="O67" s="73"/>
      <c r="P67" s="73"/>
      <c r="Q67" s="73"/>
      <c r="R67" s="73"/>
    </row>
    <row r="68" spans="9:18" x14ac:dyDescent="0.2">
      <c r="I68" s="73"/>
      <c r="J68" s="73"/>
      <c r="K68" s="91"/>
      <c r="L68" s="85"/>
      <c r="M68" s="73"/>
      <c r="N68" s="73"/>
      <c r="O68" s="73"/>
      <c r="P68" s="73"/>
      <c r="Q68" s="73"/>
      <c r="R68" s="73"/>
    </row>
    <row r="69" spans="9:18" x14ac:dyDescent="0.2">
      <c r="I69" s="73"/>
      <c r="J69" s="73"/>
      <c r="K69" s="91"/>
      <c r="L69" s="85"/>
      <c r="M69" s="73"/>
      <c r="N69" s="73"/>
      <c r="O69" s="73"/>
      <c r="P69" s="73"/>
      <c r="Q69" s="73"/>
      <c r="R69" s="73"/>
    </row>
    <row r="70" spans="9:18" x14ac:dyDescent="0.2">
      <c r="I70" s="73"/>
      <c r="J70" s="73"/>
      <c r="K70" s="91"/>
      <c r="L70" s="85"/>
      <c r="M70" s="73"/>
      <c r="N70" s="73"/>
      <c r="O70" s="73"/>
      <c r="P70" s="73"/>
      <c r="Q70" s="73"/>
      <c r="R70" s="73"/>
    </row>
    <row r="71" spans="9:18" x14ac:dyDescent="0.2">
      <c r="I71" s="73"/>
      <c r="J71" s="73"/>
      <c r="K71" s="91"/>
      <c r="L71" s="85"/>
      <c r="M71" s="73"/>
      <c r="N71" s="73"/>
      <c r="O71" s="73"/>
      <c r="P71" s="73"/>
      <c r="Q71" s="73"/>
      <c r="R71" s="73"/>
    </row>
    <row r="72" spans="9:18" x14ac:dyDescent="0.2">
      <c r="I72" s="73"/>
      <c r="J72" s="73"/>
      <c r="K72" s="91"/>
      <c r="L72" s="85"/>
      <c r="M72" s="73"/>
      <c r="N72" s="73"/>
      <c r="O72" s="73"/>
      <c r="P72" s="73"/>
      <c r="Q72" s="73"/>
      <c r="R72" s="73"/>
    </row>
    <row r="73" spans="9:18" x14ac:dyDescent="0.2">
      <c r="I73" s="73"/>
      <c r="J73" s="73"/>
      <c r="K73" s="91"/>
      <c r="L73" s="85"/>
      <c r="M73" s="73"/>
      <c r="N73" s="73"/>
      <c r="O73" s="73"/>
      <c r="P73" s="73"/>
      <c r="Q73" s="73"/>
      <c r="R73" s="73"/>
    </row>
    <row r="74" spans="9:18" x14ac:dyDescent="0.2">
      <c r="I74" s="73"/>
      <c r="J74" s="73"/>
      <c r="K74" s="91"/>
      <c r="L74" s="85"/>
      <c r="M74" s="73"/>
      <c r="N74" s="73"/>
      <c r="O74" s="73"/>
      <c r="P74" s="73"/>
      <c r="Q74" s="73"/>
      <c r="R74" s="73"/>
    </row>
    <row r="75" spans="9:18" x14ac:dyDescent="0.2">
      <c r="I75" s="73"/>
      <c r="J75" s="73"/>
      <c r="K75" s="91"/>
      <c r="L75" s="85"/>
      <c r="M75" s="73"/>
      <c r="N75" s="73"/>
      <c r="O75" s="73"/>
      <c r="P75" s="73"/>
      <c r="Q75" s="73"/>
      <c r="R75" s="73"/>
    </row>
    <row r="76" spans="9:18" x14ac:dyDescent="0.2">
      <c r="I76" s="73"/>
      <c r="J76" s="73"/>
      <c r="K76" s="91"/>
      <c r="L76" s="85"/>
      <c r="M76" s="73"/>
      <c r="N76" s="73"/>
      <c r="O76" s="73"/>
      <c r="P76" s="73"/>
      <c r="Q76" s="73"/>
      <c r="R76" s="73"/>
    </row>
    <row r="77" spans="9:18" x14ac:dyDescent="0.2">
      <c r="I77" s="73"/>
      <c r="J77" s="73"/>
      <c r="K77" s="91"/>
      <c r="L77" s="85"/>
      <c r="M77" s="73"/>
      <c r="N77" s="73"/>
      <c r="O77" s="73"/>
      <c r="P77" s="73"/>
      <c r="Q77" s="73"/>
      <c r="R77" s="73"/>
    </row>
    <row r="78" spans="9:18" x14ac:dyDescent="0.2">
      <c r="I78" s="73"/>
      <c r="J78" s="73"/>
      <c r="K78" s="91"/>
      <c r="L78" s="85"/>
      <c r="M78" s="73"/>
      <c r="N78" s="73"/>
      <c r="O78" s="73"/>
      <c r="P78" s="73"/>
      <c r="Q78" s="73"/>
      <c r="R78" s="73"/>
    </row>
    <row r="79" spans="9:18" x14ac:dyDescent="0.2">
      <c r="I79" s="73"/>
      <c r="J79" s="73"/>
      <c r="K79" s="91"/>
      <c r="L79" s="85"/>
      <c r="M79" s="73"/>
      <c r="N79" s="73"/>
      <c r="O79" s="73"/>
      <c r="P79" s="73"/>
      <c r="Q79" s="73"/>
      <c r="R79" s="73"/>
    </row>
    <row r="80" spans="9:18" x14ac:dyDescent="0.2">
      <c r="I80" s="73"/>
      <c r="J80" s="73"/>
      <c r="K80" s="91"/>
      <c r="L80" s="85"/>
      <c r="M80" s="73"/>
      <c r="N80" s="73"/>
      <c r="O80" s="73"/>
      <c r="P80" s="73"/>
      <c r="Q80" s="73"/>
      <c r="R80" s="73"/>
    </row>
    <row r="81" spans="9:18" x14ac:dyDescent="0.2">
      <c r="I81" s="73"/>
      <c r="J81" s="73"/>
      <c r="K81" s="91"/>
      <c r="L81" s="85"/>
      <c r="M81" s="73"/>
      <c r="N81" s="73"/>
      <c r="O81" s="73"/>
      <c r="P81" s="73"/>
      <c r="Q81" s="73"/>
      <c r="R81" s="73"/>
    </row>
    <row r="82" spans="9:18" x14ac:dyDescent="0.2">
      <c r="I82" s="73"/>
      <c r="J82" s="73"/>
      <c r="K82" s="91"/>
      <c r="L82" s="85"/>
      <c r="M82" s="73"/>
      <c r="N82" s="73"/>
      <c r="O82" s="73"/>
      <c r="P82" s="73"/>
      <c r="Q82" s="73"/>
      <c r="R82" s="73"/>
    </row>
    <row r="83" spans="9:18" x14ac:dyDescent="0.2">
      <c r="I83" s="73"/>
      <c r="J83" s="73"/>
      <c r="K83" s="91"/>
      <c r="L83" s="85"/>
      <c r="M83" s="73"/>
      <c r="N83" s="73"/>
      <c r="O83" s="73"/>
      <c r="P83" s="73"/>
      <c r="Q83" s="73"/>
      <c r="R83" s="73"/>
    </row>
    <row r="84" spans="9:18" x14ac:dyDescent="0.2">
      <c r="I84" s="73"/>
      <c r="J84" s="73"/>
      <c r="K84" s="91"/>
      <c r="L84" s="85"/>
      <c r="M84" s="73"/>
      <c r="N84" s="73"/>
      <c r="O84" s="73"/>
      <c r="P84" s="73"/>
      <c r="Q84" s="73"/>
      <c r="R84" s="73"/>
    </row>
    <row r="85" spans="9:18" x14ac:dyDescent="0.2">
      <c r="I85" s="73"/>
      <c r="J85" s="73"/>
      <c r="K85" s="91"/>
      <c r="L85" s="85"/>
      <c r="M85" s="73"/>
      <c r="N85" s="73"/>
      <c r="O85" s="73"/>
      <c r="P85" s="73"/>
      <c r="Q85" s="73"/>
      <c r="R85" s="73"/>
    </row>
    <row r="86" spans="9:18" x14ac:dyDescent="0.2">
      <c r="I86" s="73"/>
      <c r="J86" s="73"/>
      <c r="K86" s="91"/>
      <c r="L86" s="85"/>
      <c r="M86" s="73"/>
      <c r="N86" s="73"/>
      <c r="O86" s="73"/>
      <c r="P86" s="73"/>
      <c r="Q86" s="73"/>
      <c r="R86" s="73"/>
    </row>
    <row r="87" spans="9:18" x14ac:dyDescent="0.2">
      <c r="I87" s="73"/>
      <c r="J87" s="73"/>
      <c r="K87" s="91"/>
      <c r="L87" s="85"/>
      <c r="M87" s="73"/>
      <c r="N87" s="73"/>
      <c r="O87" s="73"/>
      <c r="P87" s="73"/>
      <c r="Q87" s="73"/>
      <c r="R87" s="73"/>
    </row>
    <row r="88" spans="9:18" x14ac:dyDescent="0.2">
      <c r="I88" s="73"/>
      <c r="J88" s="73"/>
      <c r="K88" s="91"/>
      <c r="L88" s="85"/>
      <c r="M88" s="73"/>
      <c r="N88" s="73"/>
      <c r="O88" s="73"/>
      <c r="P88" s="73"/>
      <c r="Q88" s="73"/>
      <c r="R88" s="73"/>
    </row>
    <row r="89" spans="9:18" x14ac:dyDescent="0.2">
      <c r="I89" s="73"/>
      <c r="J89" s="73"/>
      <c r="K89" s="91"/>
      <c r="L89" s="85"/>
      <c r="M89" s="73"/>
      <c r="N89" s="73"/>
      <c r="O89" s="73"/>
      <c r="P89" s="73"/>
      <c r="Q89" s="73"/>
      <c r="R89" s="73"/>
    </row>
    <row r="90" spans="9:18" x14ac:dyDescent="0.2">
      <c r="I90" s="73"/>
      <c r="J90" s="73"/>
      <c r="K90" s="91"/>
      <c r="L90" s="85"/>
      <c r="M90" s="73"/>
      <c r="N90" s="73"/>
      <c r="O90" s="73"/>
      <c r="P90" s="73"/>
      <c r="Q90" s="73"/>
      <c r="R90" s="73"/>
    </row>
    <row r="91" spans="9:18" x14ac:dyDescent="0.2">
      <c r="I91" s="73"/>
      <c r="J91" s="73"/>
      <c r="K91" s="91"/>
      <c r="L91" s="85"/>
      <c r="M91" s="73"/>
      <c r="N91" s="73"/>
      <c r="O91" s="73"/>
      <c r="P91" s="73"/>
      <c r="Q91" s="73"/>
      <c r="R91" s="73"/>
    </row>
    <row r="92" spans="9:18" x14ac:dyDescent="0.2">
      <c r="I92" s="73"/>
      <c r="J92" s="73"/>
      <c r="K92" s="91"/>
      <c r="L92" s="85"/>
      <c r="M92" s="73"/>
      <c r="N92" s="73"/>
      <c r="O92" s="73"/>
      <c r="P92" s="73"/>
      <c r="Q92" s="73"/>
      <c r="R92" s="73"/>
    </row>
    <row r="93" spans="9:18" x14ac:dyDescent="0.2">
      <c r="I93" s="73"/>
      <c r="J93" s="73"/>
      <c r="K93" s="91"/>
      <c r="L93" s="85"/>
      <c r="M93" s="73"/>
      <c r="N93" s="73"/>
      <c r="O93" s="73"/>
      <c r="P93" s="73"/>
      <c r="Q93" s="73"/>
      <c r="R93" s="73"/>
    </row>
    <row r="94" spans="9:18" x14ac:dyDescent="0.2">
      <c r="I94" s="73"/>
      <c r="J94" s="73"/>
      <c r="K94" s="91"/>
      <c r="L94" s="85"/>
      <c r="M94" s="73"/>
      <c r="N94" s="73"/>
      <c r="O94" s="73"/>
      <c r="P94" s="73"/>
      <c r="Q94" s="73"/>
      <c r="R94" s="73"/>
    </row>
    <row r="95" spans="9:18" x14ac:dyDescent="0.2">
      <c r="I95" s="73"/>
      <c r="J95" s="73"/>
      <c r="K95" s="91"/>
      <c r="L95" s="85"/>
      <c r="M95" s="73"/>
      <c r="N95" s="73"/>
      <c r="O95" s="73"/>
      <c r="P95" s="73"/>
      <c r="Q95" s="73"/>
      <c r="R95" s="73"/>
    </row>
    <row r="96" spans="9:18" x14ac:dyDescent="0.2">
      <c r="I96" s="73"/>
      <c r="J96" s="73"/>
      <c r="K96" s="91"/>
      <c r="L96" s="85"/>
      <c r="M96" s="73"/>
      <c r="N96" s="73"/>
      <c r="O96" s="73"/>
      <c r="P96" s="73"/>
      <c r="Q96" s="73"/>
      <c r="R96" s="73"/>
    </row>
    <row r="97" spans="9:18" x14ac:dyDescent="0.2">
      <c r="I97" s="73"/>
      <c r="J97" s="73"/>
      <c r="K97" s="91"/>
      <c r="L97" s="85"/>
      <c r="M97" s="73"/>
      <c r="N97" s="73"/>
      <c r="O97" s="73"/>
      <c r="P97" s="73"/>
      <c r="Q97" s="73"/>
      <c r="R97" s="73"/>
    </row>
    <row r="98" spans="9:18" x14ac:dyDescent="0.2">
      <c r="I98" s="73"/>
      <c r="J98" s="73"/>
      <c r="K98" s="91"/>
      <c r="L98" s="85"/>
      <c r="M98" s="73"/>
      <c r="N98" s="73"/>
      <c r="O98" s="73"/>
      <c r="P98" s="73"/>
      <c r="Q98" s="73"/>
      <c r="R98" s="73"/>
    </row>
    <row r="99" spans="9:18" x14ac:dyDescent="0.2">
      <c r="I99" s="73"/>
      <c r="J99" s="73"/>
      <c r="K99" s="91"/>
      <c r="L99" s="85"/>
      <c r="M99" s="73"/>
      <c r="N99" s="73"/>
      <c r="O99" s="73"/>
      <c r="P99" s="73"/>
      <c r="Q99" s="73"/>
      <c r="R99" s="73"/>
    </row>
    <row r="100" spans="9:18" x14ac:dyDescent="0.2">
      <c r="I100" s="73"/>
      <c r="J100" s="73"/>
      <c r="K100" s="91"/>
      <c r="L100" s="85"/>
      <c r="M100" s="73"/>
      <c r="N100" s="73"/>
      <c r="O100" s="73"/>
      <c r="P100" s="73"/>
      <c r="Q100" s="73"/>
      <c r="R100" s="73"/>
    </row>
    <row r="101" spans="9:18" x14ac:dyDescent="0.2">
      <c r="I101" s="73"/>
      <c r="J101" s="73"/>
      <c r="K101" s="91"/>
      <c r="L101" s="85"/>
      <c r="M101" s="73"/>
      <c r="N101" s="73"/>
      <c r="O101" s="73"/>
      <c r="P101" s="73"/>
      <c r="Q101" s="73"/>
      <c r="R101" s="73"/>
    </row>
    <row r="102" spans="9:18" x14ac:dyDescent="0.2">
      <c r="I102" s="83"/>
      <c r="J102" s="73"/>
      <c r="K102" s="91"/>
      <c r="L102" s="85"/>
      <c r="M102" s="73"/>
      <c r="N102" s="73"/>
      <c r="O102" s="73"/>
      <c r="P102" s="73"/>
      <c r="Q102" s="73"/>
      <c r="R102" s="73"/>
    </row>
    <row r="103" spans="9:18" x14ac:dyDescent="0.2">
      <c r="I103" s="73"/>
      <c r="J103" s="73"/>
      <c r="K103" s="91"/>
      <c r="L103" s="85"/>
      <c r="M103" s="73"/>
      <c r="N103" s="73"/>
      <c r="O103" s="73"/>
      <c r="P103" s="73"/>
      <c r="Q103" s="73"/>
      <c r="R103" s="73"/>
    </row>
    <row r="104" spans="9:18" x14ac:dyDescent="0.2">
      <c r="I104" s="73"/>
      <c r="J104" s="73"/>
      <c r="K104" s="91"/>
      <c r="L104" s="85"/>
      <c r="M104" s="73"/>
      <c r="N104" s="73"/>
      <c r="O104" s="73"/>
      <c r="P104" s="73"/>
      <c r="Q104" s="73"/>
      <c r="R104" s="73"/>
    </row>
    <row r="105" spans="9:18" x14ac:dyDescent="0.2">
      <c r="I105" s="73"/>
      <c r="J105" s="73"/>
      <c r="K105" s="91"/>
      <c r="L105" s="85"/>
      <c r="M105" s="73"/>
      <c r="N105" s="73"/>
      <c r="O105" s="73"/>
      <c r="P105" s="73"/>
      <c r="Q105" s="73"/>
      <c r="R105" s="73"/>
    </row>
    <row r="106" spans="9:18" x14ac:dyDescent="0.2">
      <c r="I106" s="73"/>
      <c r="J106" s="73"/>
      <c r="K106" s="91"/>
      <c r="L106" s="85"/>
      <c r="M106" s="73"/>
      <c r="N106" s="73"/>
      <c r="O106" s="73"/>
      <c r="P106" s="73"/>
      <c r="Q106" s="73"/>
      <c r="R106" s="73"/>
    </row>
    <row r="107" spans="9:18" x14ac:dyDescent="0.2">
      <c r="I107" s="73"/>
      <c r="J107" s="73"/>
      <c r="K107" s="91"/>
      <c r="L107" s="85"/>
      <c r="M107" s="73"/>
      <c r="N107" s="73"/>
      <c r="O107" s="73"/>
      <c r="P107" s="73"/>
      <c r="Q107" s="73"/>
      <c r="R107" s="73"/>
    </row>
    <row r="108" spans="9:18" x14ac:dyDescent="0.2">
      <c r="I108" s="73"/>
      <c r="J108" s="73"/>
      <c r="K108" s="91"/>
      <c r="L108" s="85"/>
      <c r="M108" s="73"/>
      <c r="N108" s="73"/>
      <c r="O108" s="73"/>
      <c r="P108" s="73"/>
      <c r="Q108" s="73"/>
      <c r="R108" s="73"/>
    </row>
    <row r="109" spans="9:18" x14ac:dyDescent="0.2">
      <c r="I109" s="73"/>
      <c r="J109" s="73"/>
      <c r="K109" s="91"/>
      <c r="L109" s="85"/>
      <c r="M109" s="73"/>
      <c r="N109" s="73"/>
      <c r="O109" s="73"/>
      <c r="P109" s="73"/>
      <c r="Q109" s="73"/>
      <c r="R109" s="73"/>
    </row>
    <row r="110" spans="9:18" x14ac:dyDescent="0.2">
      <c r="I110" s="73"/>
      <c r="J110" s="73"/>
      <c r="K110" s="91"/>
      <c r="L110" s="85"/>
      <c r="M110" s="73"/>
      <c r="N110" s="73"/>
      <c r="O110" s="73"/>
      <c r="P110" s="73"/>
      <c r="Q110" s="73"/>
      <c r="R110" s="73"/>
    </row>
    <row r="111" spans="9:18" x14ac:dyDescent="0.2">
      <c r="I111" s="73"/>
      <c r="J111" s="73"/>
      <c r="K111" s="91"/>
      <c r="L111" s="85"/>
      <c r="M111" s="73"/>
      <c r="N111" s="73"/>
      <c r="O111" s="73"/>
      <c r="P111" s="73"/>
      <c r="Q111" s="73"/>
      <c r="R111" s="73"/>
    </row>
    <row r="112" spans="9:18" x14ac:dyDescent="0.2">
      <c r="I112" s="73"/>
      <c r="J112" s="73"/>
      <c r="K112" s="91"/>
      <c r="L112" s="85"/>
      <c r="M112" s="73"/>
      <c r="N112" s="73"/>
      <c r="O112" s="73"/>
      <c r="P112" s="73"/>
      <c r="Q112" s="73"/>
      <c r="R112" s="73"/>
    </row>
    <row r="113" spans="3:18" x14ac:dyDescent="0.2">
      <c r="I113" s="73"/>
      <c r="J113" s="73"/>
      <c r="K113" s="91"/>
      <c r="L113" s="85"/>
      <c r="M113" s="73"/>
      <c r="N113" s="73"/>
      <c r="O113" s="73"/>
      <c r="P113" s="73"/>
      <c r="Q113" s="73"/>
      <c r="R113" s="73"/>
    </row>
    <row r="114" spans="3:18" x14ac:dyDescent="0.2">
      <c r="I114" s="73"/>
      <c r="J114" s="73"/>
      <c r="K114" s="91"/>
      <c r="L114" s="85"/>
      <c r="M114" s="73"/>
      <c r="N114" s="73"/>
      <c r="O114" s="73"/>
      <c r="P114" s="73"/>
      <c r="Q114" s="73"/>
      <c r="R114" s="73"/>
    </row>
    <row r="115" spans="3:18" x14ac:dyDescent="0.2">
      <c r="I115" s="73"/>
      <c r="J115" s="73"/>
      <c r="K115" s="91"/>
      <c r="L115" s="85"/>
      <c r="M115" s="73"/>
      <c r="N115" s="73"/>
      <c r="O115" s="73"/>
      <c r="P115" s="73"/>
      <c r="Q115" s="73"/>
      <c r="R115" s="73"/>
    </row>
    <row r="116" spans="3:18" x14ac:dyDescent="0.2">
      <c r="I116" s="73"/>
      <c r="J116" s="73"/>
      <c r="K116" s="91"/>
      <c r="L116" s="85"/>
      <c r="M116" s="73"/>
      <c r="N116" s="73"/>
      <c r="O116" s="73"/>
      <c r="P116" s="73"/>
      <c r="Q116" s="73"/>
      <c r="R116" s="73"/>
    </row>
    <row r="117" spans="3:18" x14ac:dyDescent="0.2">
      <c r="I117" s="73"/>
      <c r="J117" s="73"/>
      <c r="K117" s="91"/>
      <c r="L117" s="85"/>
      <c r="M117" s="73"/>
      <c r="N117" s="73"/>
      <c r="O117" s="73"/>
      <c r="P117" s="73"/>
      <c r="Q117" s="73"/>
      <c r="R117" s="73"/>
    </row>
    <row r="118" spans="3:18" x14ac:dyDescent="0.2">
      <c r="I118" s="73"/>
      <c r="J118" s="73"/>
      <c r="K118" s="91"/>
      <c r="L118" s="85"/>
      <c r="M118" s="73"/>
      <c r="N118" s="73"/>
      <c r="O118" s="73"/>
      <c r="P118" s="73"/>
      <c r="Q118" s="73"/>
      <c r="R118" s="73"/>
    </row>
    <row r="119" spans="3:18" x14ac:dyDescent="0.2">
      <c r="I119" s="73"/>
      <c r="J119" s="73"/>
      <c r="K119" s="91"/>
      <c r="L119" s="85"/>
      <c r="M119" s="73"/>
      <c r="N119" s="73"/>
      <c r="O119" s="73"/>
      <c r="P119" s="73"/>
      <c r="Q119" s="73"/>
      <c r="R119" s="73"/>
    </row>
    <row r="120" spans="3:18" x14ac:dyDescent="0.2">
      <c r="I120" s="73"/>
      <c r="J120" s="73"/>
      <c r="K120" s="99" t="s">
        <v>351</v>
      </c>
      <c r="L120" s="85"/>
      <c r="M120" s="73"/>
      <c r="N120" s="73"/>
      <c r="O120" s="73"/>
      <c r="P120" s="73"/>
      <c r="Q120" s="73"/>
      <c r="R120" s="73"/>
    </row>
    <row r="121" spans="3:18" x14ac:dyDescent="0.2">
      <c r="I121" s="73"/>
      <c r="J121" s="73"/>
      <c r="K121" s="91"/>
      <c r="L121" s="85"/>
      <c r="M121" s="73"/>
      <c r="N121" s="73"/>
      <c r="O121" s="73"/>
      <c r="P121" s="73"/>
      <c r="Q121" s="73"/>
      <c r="R121" s="73"/>
    </row>
    <row r="122" spans="3:18" x14ac:dyDescent="0.2">
      <c r="I122" s="73"/>
      <c r="J122" s="73"/>
      <c r="K122" s="91"/>
      <c r="L122" s="85"/>
      <c r="M122" s="73"/>
      <c r="N122" s="73"/>
      <c r="O122" s="73"/>
      <c r="P122" s="73"/>
      <c r="Q122" s="73"/>
      <c r="R122" s="73"/>
    </row>
    <row r="123" spans="3:18" x14ac:dyDescent="0.2">
      <c r="I123" s="73"/>
      <c r="J123" s="73"/>
      <c r="K123" s="91"/>
      <c r="L123" s="85"/>
      <c r="M123" s="73"/>
      <c r="N123" s="73"/>
      <c r="O123" s="73"/>
      <c r="P123" s="73"/>
      <c r="Q123" s="73"/>
      <c r="R123" s="73"/>
    </row>
    <row r="124" spans="3:18" x14ac:dyDescent="0.2">
      <c r="I124" s="73"/>
      <c r="J124" s="73"/>
      <c r="K124" s="91"/>
      <c r="L124" s="85"/>
      <c r="M124" s="73"/>
      <c r="N124" s="73"/>
      <c r="O124" s="73"/>
      <c r="P124" s="73"/>
      <c r="Q124" s="73"/>
      <c r="R124" s="73"/>
    </row>
    <row r="125" spans="3:18" ht="13.5" thickBot="1" x14ac:dyDescent="0.25">
      <c r="D125" s="5" t="s">
        <v>0</v>
      </c>
      <c r="G125" s="131" t="s">
        <v>350</v>
      </c>
      <c r="I125" s="25" t="s">
        <v>257</v>
      </c>
      <c r="K125" s="91"/>
      <c r="L125" s="5" t="s">
        <v>0</v>
      </c>
      <c r="M125" s="73"/>
      <c r="N125" s="98"/>
      <c r="O125" s="73"/>
      <c r="P125" s="73"/>
      <c r="Q125" s="73"/>
      <c r="R125" s="73"/>
    </row>
    <row r="126" spans="3:18" x14ac:dyDescent="0.2">
      <c r="C126" s="2" t="s">
        <v>224</v>
      </c>
      <c r="D126" s="102">
        <v>5444.0069368369113</v>
      </c>
      <c r="E126" t="s">
        <v>40</v>
      </c>
      <c r="F126" s="25" t="s">
        <v>106</v>
      </c>
      <c r="G126" s="131" t="s">
        <v>109</v>
      </c>
      <c r="H126" s="25" t="s">
        <v>107</v>
      </c>
      <c r="I126" s="25" t="s">
        <v>347</v>
      </c>
      <c r="K126" s="10" t="s">
        <v>257</v>
      </c>
      <c r="L126" s="101" t="s">
        <v>259</v>
      </c>
      <c r="M126" s="73"/>
      <c r="N126" s="98"/>
      <c r="O126" s="73"/>
      <c r="P126" s="73"/>
      <c r="Q126" s="73"/>
      <c r="R126" s="73"/>
    </row>
    <row r="127" spans="3:18" ht="13.5" thickBot="1" x14ac:dyDescent="0.25">
      <c r="C127" s="2" t="s">
        <v>232</v>
      </c>
      <c r="D127" s="69">
        <v>1</v>
      </c>
      <c r="E127" t="s">
        <v>4</v>
      </c>
      <c r="F127" s="21" t="s">
        <v>110</v>
      </c>
      <c r="G127" s="21" t="s">
        <v>349</v>
      </c>
      <c r="H127" s="21" t="s">
        <v>108</v>
      </c>
      <c r="I127" s="129" t="s">
        <v>348</v>
      </c>
      <c r="K127" s="10" t="s">
        <v>258</v>
      </c>
      <c r="L127" s="78" t="s">
        <v>260</v>
      </c>
      <c r="M127" s="73"/>
      <c r="N127" s="98"/>
      <c r="O127" s="73"/>
      <c r="P127" s="73"/>
      <c r="Q127" s="73"/>
      <c r="R127" s="73"/>
    </row>
    <row r="128" spans="3:18" x14ac:dyDescent="0.2">
      <c r="C128" s="2" t="s">
        <v>175</v>
      </c>
      <c r="D128" s="142">
        <v>0.5635</v>
      </c>
      <c r="E128" t="s">
        <v>112</v>
      </c>
      <c r="F128" s="49">
        <v>0.25</v>
      </c>
      <c r="G128" s="39">
        <v>0.189</v>
      </c>
      <c r="H128" s="39">
        <v>20</v>
      </c>
      <c r="I128" s="132">
        <f>3.142*G128^2/4</f>
        <v>2.8058845500000002E-2</v>
      </c>
      <c r="K128" s="10" t="s">
        <v>278</v>
      </c>
      <c r="L128" s="103">
        <v>150000</v>
      </c>
      <c r="M128" s="98" t="s">
        <v>100</v>
      </c>
      <c r="N128" s="98"/>
      <c r="O128" s="73"/>
      <c r="P128" s="73"/>
      <c r="Q128" s="73"/>
      <c r="R128" s="73"/>
    </row>
    <row r="129" spans="3:18" x14ac:dyDescent="0.2">
      <c r="C129" s="2" t="s">
        <v>178</v>
      </c>
      <c r="D129" s="70">
        <v>40</v>
      </c>
      <c r="E129" t="s">
        <v>11</v>
      </c>
      <c r="F129" s="49">
        <v>0.375</v>
      </c>
      <c r="G129" s="39">
        <v>0.29799999999999999</v>
      </c>
      <c r="H129" s="39">
        <v>16</v>
      </c>
      <c r="I129" s="132">
        <f>3.142*G129^2/4</f>
        <v>6.975554199999999E-2</v>
      </c>
      <c r="K129" s="10" t="s">
        <v>266</v>
      </c>
      <c r="L129" s="70">
        <v>55</v>
      </c>
      <c r="M129" s="11" t="s">
        <v>267</v>
      </c>
      <c r="N129" s="98"/>
      <c r="O129" s="73"/>
      <c r="P129" s="73"/>
      <c r="Q129" s="73"/>
      <c r="R129" s="73"/>
    </row>
    <row r="130" spans="3:18" x14ac:dyDescent="0.2">
      <c r="C130" s="10" t="s">
        <v>169</v>
      </c>
      <c r="D130" s="103">
        <v>29000000</v>
      </c>
      <c r="E130" t="s">
        <v>100</v>
      </c>
      <c r="F130" s="49">
        <v>0.5</v>
      </c>
      <c r="G130" s="39">
        <v>0.40600000000000003</v>
      </c>
      <c r="H130" s="39">
        <v>13</v>
      </c>
      <c r="I130" s="132">
        <f>3.142*G130^2/4</f>
        <v>0.12947867800000001</v>
      </c>
      <c r="K130" s="10" t="s">
        <v>264</v>
      </c>
      <c r="L130" s="70">
        <v>13</v>
      </c>
      <c r="M130" s="98" t="s">
        <v>256</v>
      </c>
      <c r="N130" s="98"/>
      <c r="O130" s="73"/>
      <c r="P130" s="73"/>
      <c r="Q130" s="73"/>
      <c r="R130" s="73"/>
    </row>
    <row r="131" spans="3:18" x14ac:dyDescent="0.2">
      <c r="C131" s="2" t="s">
        <v>203</v>
      </c>
      <c r="D131" s="69">
        <v>0.5</v>
      </c>
      <c r="E131" t="s">
        <v>4</v>
      </c>
      <c r="F131" s="49">
        <v>0.625</v>
      </c>
      <c r="G131" s="39">
        <v>0.51400000000000001</v>
      </c>
      <c r="H131" s="39">
        <v>11</v>
      </c>
      <c r="I131" s="132">
        <f>3.142*G131^2/4</f>
        <v>0.20752595799999998</v>
      </c>
      <c r="K131" s="10" t="s">
        <v>253</v>
      </c>
      <c r="L131" s="69">
        <v>0.5</v>
      </c>
      <c r="M131" s="98" t="s">
        <v>4</v>
      </c>
      <c r="O131" s="73"/>
      <c r="P131" s="73"/>
      <c r="Q131" s="73"/>
      <c r="R131" s="73"/>
    </row>
    <row r="132" spans="3:18" ht="16.5" x14ac:dyDescent="0.25">
      <c r="C132" s="2" t="s">
        <v>204</v>
      </c>
      <c r="D132" s="69">
        <v>0.75</v>
      </c>
      <c r="E132" t="s">
        <v>4</v>
      </c>
      <c r="F132" s="49">
        <v>0.75</v>
      </c>
      <c r="G132" s="39">
        <v>0.627</v>
      </c>
      <c r="H132" s="39">
        <v>10</v>
      </c>
      <c r="I132" s="132">
        <f>3.142*G132^2/4</f>
        <v>0.30880282949999999</v>
      </c>
      <c r="K132" s="10" t="s">
        <v>254</v>
      </c>
      <c r="L132" s="78">
        <v>30</v>
      </c>
      <c r="M132" s="98" t="s">
        <v>238</v>
      </c>
      <c r="O132" s="73"/>
      <c r="P132" s="73"/>
      <c r="Q132" s="73"/>
      <c r="R132" s="73"/>
    </row>
    <row r="133" spans="3:18" x14ac:dyDescent="0.2">
      <c r="C133" s="10" t="s">
        <v>210</v>
      </c>
      <c r="D133" s="103">
        <v>29000000</v>
      </c>
      <c r="E133" t="s">
        <v>100</v>
      </c>
      <c r="F133" s="49">
        <v>0.875</v>
      </c>
      <c r="G133" s="39">
        <v>0.73899999999999999</v>
      </c>
      <c r="H133" s="39">
        <v>9</v>
      </c>
      <c r="I133" s="132">
        <f>3.142*G133^2/4</f>
        <v>0.42897804549999996</v>
      </c>
      <c r="K133" s="10" t="s">
        <v>255</v>
      </c>
      <c r="L133" s="78"/>
      <c r="M133" s="98" t="s">
        <v>4</v>
      </c>
      <c r="O133" s="73"/>
      <c r="P133" s="73"/>
      <c r="Q133" s="73"/>
      <c r="R133" s="73"/>
    </row>
    <row r="134" spans="3:18" ht="13.5" thickBot="1" x14ac:dyDescent="0.25">
      <c r="C134" s="10" t="s">
        <v>211</v>
      </c>
      <c r="D134" s="104">
        <v>10500000</v>
      </c>
      <c r="E134" t="s">
        <v>100</v>
      </c>
      <c r="F134" s="50">
        <v>1</v>
      </c>
      <c r="G134" s="42">
        <v>0.84699999999999998</v>
      </c>
      <c r="H134" s="42">
        <v>8</v>
      </c>
      <c r="I134" s="133">
        <f>3.142*G134^2/4</f>
        <v>0.56352476949999997</v>
      </c>
      <c r="K134" s="113" t="s">
        <v>276</v>
      </c>
      <c r="L134" s="79">
        <v>0.15</v>
      </c>
      <c r="M134" s="98"/>
      <c r="O134" s="73"/>
      <c r="P134" s="73"/>
      <c r="Q134" s="73"/>
      <c r="R134" s="73"/>
    </row>
    <row r="135" spans="3:18" x14ac:dyDescent="0.2">
      <c r="D135" s="5" t="s">
        <v>101</v>
      </c>
      <c r="I135" s="73"/>
      <c r="J135" s="73"/>
      <c r="L135" s="5" t="s">
        <v>101</v>
      </c>
      <c r="N135" s="98"/>
      <c r="O135" s="73"/>
      <c r="P135" s="73"/>
      <c r="Q135" s="73"/>
      <c r="R135" s="73"/>
    </row>
    <row r="136" spans="3:18" x14ac:dyDescent="0.2">
      <c r="C136" s="9" t="s">
        <v>171</v>
      </c>
      <c r="D136" s="4" t="s">
        <v>172</v>
      </c>
      <c r="E136" s="1"/>
      <c r="G136" s="4" t="s">
        <v>74</v>
      </c>
      <c r="H136" s="25"/>
      <c r="I136" s="73"/>
      <c r="J136" s="73"/>
      <c r="K136" s="9" t="s">
        <v>249</v>
      </c>
      <c r="L136" s="4" t="s">
        <v>265</v>
      </c>
      <c r="M136" s="1"/>
      <c r="O136" s="73"/>
      <c r="P136" s="73"/>
      <c r="Q136" s="73"/>
      <c r="R136" s="73"/>
    </row>
    <row r="137" spans="3:18" ht="13.5" thickBot="1" x14ac:dyDescent="0.25">
      <c r="C137" s="9" t="s">
        <v>6</v>
      </c>
      <c r="D137" s="23">
        <f>3.1416 * (1.5 * D127)^2 / 4</f>
        <v>1.76715</v>
      </c>
      <c r="E137" s="1" t="s">
        <v>112</v>
      </c>
      <c r="G137" s="43" t="s">
        <v>120</v>
      </c>
      <c r="H137" s="27"/>
      <c r="I137" s="73"/>
      <c r="K137" s="9" t="s">
        <v>6</v>
      </c>
      <c r="L137" s="45">
        <f>1/L130</f>
        <v>7.6923076923076927E-2</v>
      </c>
      <c r="M137" s="1" t="s">
        <v>4</v>
      </c>
      <c r="P137" s="73"/>
      <c r="Q137" s="73"/>
      <c r="R137" s="73"/>
    </row>
    <row r="138" spans="3:18" x14ac:dyDescent="0.2">
      <c r="C138" s="9" t="s">
        <v>173</v>
      </c>
      <c r="D138" s="4" t="s">
        <v>212</v>
      </c>
      <c r="E138" s="1"/>
      <c r="G138" t="s">
        <v>79</v>
      </c>
      <c r="H138" s="24">
        <v>14</v>
      </c>
      <c r="I138" s="73"/>
      <c r="K138" s="9" t="s">
        <v>250</v>
      </c>
      <c r="L138" s="4" t="s">
        <v>269</v>
      </c>
      <c r="M138" s="1"/>
      <c r="P138" s="73"/>
      <c r="Q138" s="73"/>
      <c r="R138" s="73"/>
    </row>
    <row r="139" spans="3:18" x14ac:dyDescent="0.2">
      <c r="C139" s="9" t="s">
        <v>6</v>
      </c>
      <c r="D139" s="28">
        <f>$D$133 * $D$137 / D131</f>
        <v>102494700</v>
      </c>
      <c r="E139" s="1" t="s">
        <v>177</v>
      </c>
      <c r="G139" t="s">
        <v>121</v>
      </c>
      <c r="H139" s="24">
        <v>40</v>
      </c>
      <c r="I139" s="73"/>
      <c r="J139" s="73"/>
      <c r="K139" s="9" t="s">
        <v>6</v>
      </c>
      <c r="L139" s="45">
        <f>0.92*L131</f>
        <v>0.46</v>
      </c>
      <c r="M139" s="1" t="s">
        <v>4</v>
      </c>
      <c r="O139" s="73"/>
      <c r="P139" s="73"/>
      <c r="Q139" s="73"/>
      <c r="R139" s="73"/>
    </row>
    <row r="140" spans="3:18" ht="13.5" thickBot="1" x14ac:dyDescent="0.25">
      <c r="C140" s="9" t="s">
        <v>174</v>
      </c>
      <c r="D140" s="4" t="s">
        <v>213</v>
      </c>
      <c r="E140" s="1"/>
      <c r="G140" s="30" t="s">
        <v>122</v>
      </c>
      <c r="H140" s="27">
        <v>50</v>
      </c>
      <c r="I140" s="73"/>
      <c r="K140" s="9" t="s">
        <v>251</v>
      </c>
      <c r="L140" s="4" t="s">
        <v>270</v>
      </c>
      <c r="M140" s="114" t="s">
        <v>274</v>
      </c>
      <c r="O140" s="73"/>
      <c r="P140" s="73"/>
      <c r="Q140" s="73"/>
      <c r="R140" s="73"/>
    </row>
    <row r="141" spans="3:18" x14ac:dyDescent="0.2">
      <c r="C141" s="9" t="s">
        <v>6</v>
      </c>
      <c r="D141" s="28">
        <f>D134 * $D$137 / D132</f>
        <v>24740100</v>
      </c>
      <c r="E141" s="1" t="s">
        <v>177</v>
      </c>
      <c r="I141" s="73"/>
      <c r="K141" s="9" t="s">
        <v>6</v>
      </c>
      <c r="L141" s="4">
        <f>1.5*L131</f>
        <v>0.75</v>
      </c>
      <c r="M141" s="1" t="s">
        <v>4</v>
      </c>
      <c r="O141" s="73"/>
      <c r="P141" s="73"/>
      <c r="Q141" s="73"/>
      <c r="R141" s="73"/>
    </row>
    <row r="142" spans="3:18" ht="15" thickBot="1" x14ac:dyDescent="0.25">
      <c r="C142" s="9" t="s">
        <v>227</v>
      </c>
      <c r="D142" s="4" t="s">
        <v>225</v>
      </c>
      <c r="E142" s="1"/>
      <c r="G142" s="60" t="s">
        <v>222</v>
      </c>
      <c r="H142" s="60" t="s">
        <v>223</v>
      </c>
      <c r="I142" s="73"/>
      <c r="J142" s="73"/>
      <c r="K142" s="9" t="s">
        <v>252</v>
      </c>
      <c r="L142" s="4" t="s">
        <v>275</v>
      </c>
      <c r="M142" s="1"/>
      <c r="O142" s="73"/>
      <c r="P142" s="73"/>
      <c r="Q142" s="73"/>
      <c r="R142" s="73"/>
    </row>
    <row r="143" spans="3:18" x14ac:dyDescent="0.2">
      <c r="C143" s="7" t="s">
        <v>6</v>
      </c>
      <c r="D143" s="97">
        <f xml:space="preserve"> 1 / D139 + 1 / D141</f>
        <v>5.0176810536126677E-8</v>
      </c>
      <c r="E143" s="1"/>
      <c r="G143" t="s">
        <v>215</v>
      </c>
      <c r="H143" s="59">
        <v>15</v>
      </c>
      <c r="I143" s="73"/>
      <c r="J143" s="73"/>
      <c r="K143" s="9" t="s">
        <v>6</v>
      </c>
      <c r="L143" s="23">
        <f>L131</f>
        <v>0.5</v>
      </c>
      <c r="M143" s="1"/>
      <c r="O143" s="73"/>
      <c r="P143" s="73"/>
      <c r="Q143" s="73"/>
      <c r="R143" s="73"/>
    </row>
    <row r="144" spans="3:18" x14ac:dyDescent="0.2">
      <c r="C144" s="9" t="s">
        <v>228</v>
      </c>
      <c r="D144" s="105">
        <f>1/D143</f>
        <v>19929525</v>
      </c>
      <c r="E144" s="1" t="s">
        <v>177</v>
      </c>
      <c r="G144" t="s">
        <v>216</v>
      </c>
      <c r="H144" s="59">
        <v>17</v>
      </c>
      <c r="I144" s="73"/>
      <c r="J144" s="73"/>
      <c r="K144" s="9" t="s">
        <v>272</v>
      </c>
      <c r="L144" s="4" t="s">
        <v>262</v>
      </c>
      <c r="M144" s="1"/>
      <c r="O144" s="73"/>
      <c r="P144" s="73"/>
      <c r="Q144" s="73"/>
      <c r="R144" s="73"/>
    </row>
    <row r="145" spans="1:18" x14ac:dyDescent="0.2">
      <c r="A145">
        <f>L149</f>
        <v>0.14189992866422838</v>
      </c>
      <c r="C145" s="9" t="s">
        <v>229</v>
      </c>
      <c r="D145" s="4" t="s">
        <v>205</v>
      </c>
      <c r="G145" t="s">
        <v>217</v>
      </c>
      <c r="H145" s="59">
        <v>14</v>
      </c>
      <c r="I145" s="73"/>
      <c r="J145" s="73"/>
      <c r="K145" s="9" t="s">
        <v>6</v>
      </c>
      <c r="L145" s="45">
        <f>L131 - 0.649519*L137</f>
        <v>0.45003700000000002</v>
      </c>
      <c r="M145" s="1" t="s">
        <v>4</v>
      </c>
      <c r="O145" s="73"/>
      <c r="P145" s="73"/>
      <c r="Q145" s="73"/>
      <c r="R145" s="73"/>
    </row>
    <row r="146" spans="1:18" x14ac:dyDescent="0.2">
      <c r="C146" s="7" t="s">
        <v>6</v>
      </c>
      <c r="D146" s="58">
        <f>D126 / D144</f>
        <v>2.7316290462702506E-4</v>
      </c>
      <c r="E146" s="1" t="s">
        <v>4</v>
      </c>
      <c r="G146" t="s">
        <v>218</v>
      </c>
      <c r="H146" s="62">
        <v>10.5</v>
      </c>
      <c r="I146" s="73"/>
      <c r="K146" s="9" t="s">
        <v>273</v>
      </c>
      <c r="L146" s="4" t="s">
        <v>263</v>
      </c>
      <c r="M146" s="1"/>
      <c r="P146" s="73"/>
      <c r="Q146" s="73"/>
      <c r="R146" s="73"/>
    </row>
    <row r="147" spans="1:18" x14ac:dyDescent="0.2">
      <c r="C147" s="9" t="s">
        <v>170</v>
      </c>
      <c r="D147" s="23" t="s">
        <v>226</v>
      </c>
      <c r="E147" s="1"/>
      <c r="G147" t="s">
        <v>219</v>
      </c>
      <c r="H147" s="59">
        <v>26</v>
      </c>
      <c r="I147" s="73"/>
      <c r="K147" s="9" t="s">
        <v>6</v>
      </c>
      <c r="L147" s="45">
        <f>L131 - 1.299038*L137</f>
        <v>0.40007399999999999</v>
      </c>
      <c r="M147" s="1" t="s">
        <v>4</v>
      </c>
      <c r="P147" s="73"/>
      <c r="Q147" s="73"/>
      <c r="R147" s="73"/>
    </row>
    <row r="148" spans="1:18" x14ac:dyDescent="0.2">
      <c r="C148" s="7" t="s">
        <v>6</v>
      </c>
      <c r="D148" s="23">
        <f>D131 + D132</f>
        <v>1.25</v>
      </c>
      <c r="E148" s="1" t="s">
        <v>177</v>
      </c>
      <c r="G148" t="s">
        <v>220</v>
      </c>
      <c r="H148" s="59">
        <v>30</v>
      </c>
      <c r="I148" s="73"/>
      <c r="J148" s="73"/>
      <c r="K148" s="9" t="s">
        <v>261</v>
      </c>
      <c r="L148" s="4" t="s">
        <v>271</v>
      </c>
      <c r="M148" s="1"/>
      <c r="O148" s="73"/>
      <c r="P148" s="73"/>
      <c r="Q148" s="73"/>
      <c r="R148" s="73"/>
    </row>
    <row r="149" spans="1:18" ht="13.5" thickBot="1" x14ac:dyDescent="0.25">
      <c r="C149" s="9" t="s">
        <v>230</v>
      </c>
      <c r="D149" s="1" t="s">
        <v>208</v>
      </c>
      <c r="E149" s="1"/>
      <c r="G149" s="30" t="s">
        <v>221</v>
      </c>
      <c r="H149" s="61">
        <v>29</v>
      </c>
      <c r="I149" s="73"/>
      <c r="J149" s="73"/>
      <c r="K149" s="9" t="s">
        <v>6</v>
      </c>
      <c r="L149" s="45">
        <f>(3.1416/4)*((L147 + L145) / 2)^2</f>
        <v>0.14189992866422838</v>
      </c>
      <c r="M149" s="1" t="s">
        <v>112</v>
      </c>
      <c r="O149" s="73"/>
      <c r="P149" s="73"/>
      <c r="Q149" s="73"/>
      <c r="R149" s="73"/>
    </row>
    <row r="150" spans="1:18" x14ac:dyDescent="0.2">
      <c r="C150" s="7" t="s">
        <v>6</v>
      </c>
      <c r="D150" s="105">
        <f>D130 *D128 / D148</f>
        <v>13073200</v>
      </c>
      <c r="E150" s="1" t="s">
        <v>177</v>
      </c>
      <c r="I150" s="73"/>
      <c r="J150" s="73"/>
      <c r="K150" s="9" t="s">
        <v>277</v>
      </c>
      <c r="L150" s="4" t="s">
        <v>279</v>
      </c>
      <c r="M150" s="1"/>
      <c r="O150" s="98"/>
      <c r="P150" s="73"/>
      <c r="Q150" s="73"/>
      <c r="R150" s="73"/>
    </row>
    <row r="151" spans="1:18" x14ac:dyDescent="0.2">
      <c r="C151" s="9" t="s">
        <v>209</v>
      </c>
      <c r="D151" s="4" t="s">
        <v>206</v>
      </c>
      <c r="I151" s="73"/>
      <c r="J151" s="73"/>
      <c r="K151" s="9" t="s">
        <v>6</v>
      </c>
      <c r="L151" s="105">
        <f>(L129/100)*L128*L149</f>
        <v>11706.744114798841</v>
      </c>
      <c r="M151" s="1" t="s">
        <v>40</v>
      </c>
      <c r="O151" s="73"/>
      <c r="P151" s="73"/>
      <c r="Q151" s="73"/>
      <c r="R151" s="73"/>
    </row>
    <row r="152" spans="1:18" ht="14.25" x14ac:dyDescent="0.2">
      <c r="C152" s="9" t="s">
        <v>6</v>
      </c>
      <c r="D152" s="58">
        <f>D126 / D150</f>
        <v>4.1642497145587243E-4</v>
      </c>
      <c r="E152" s="1" t="s">
        <v>4</v>
      </c>
      <c r="F152" s="1" t="s">
        <v>353</v>
      </c>
      <c r="I152" s="73"/>
      <c r="J152" s="73"/>
      <c r="K152" s="9" t="s">
        <v>284</v>
      </c>
      <c r="L152" s="4" t="s">
        <v>310</v>
      </c>
      <c r="M152" s="1"/>
      <c r="O152" s="73"/>
      <c r="P152" s="73"/>
      <c r="Q152" s="73"/>
      <c r="R152" s="73"/>
    </row>
    <row r="153" spans="1:18" x14ac:dyDescent="0.2">
      <c r="C153" s="9" t="s">
        <v>231</v>
      </c>
      <c r="D153" s="1" t="s">
        <v>214</v>
      </c>
      <c r="I153" s="83"/>
      <c r="J153" s="73"/>
      <c r="K153" s="9" t="s">
        <v>6</v>
      </c>
      <c r="L153" s="45">
        <f>(2/3)*(L141^3 - L143^3) / (L141^2 - L143^2)</f>
        <v>0.6333333333333333</v>
      </c>
      <c r="M153" s="1"/>
      <c r="O153" s="73"/>
      <c r="P153" s="73"/>
      <c r="Q153" s="73"/>
      <c r="R153" s="73"/>
    </row>
    <row r="154" spans="1:18" x14ac:dyDescent="0.2">
      <c r="C154" s="6" t="s">
        <v>6</v>
      </c>
      <c r="D154" s="105">
        <f>D126 * ((D152 + D146) / D152 )</f>
        <v>9015.120221606936</v>
      </c>
      <c r="E154" s="1" t="s">
        <v>40</v>
      </c>
      <c r="I154" s="73"/>
      <c r="J154" s="73"/>
      <c r="K154" s="9" t="s">
        <v>268</v>
      </c>
      <c r="L154" s="4" t="s">
        <v>280</v>
      </c>
      <c r="M154" s="1"/>
      <c r="N154" s="73"/>
      <c r="O154" s="73"/>
      <c r="P154" s="73"/>
      <c r="Q154" s="73"/>
      <c r="R154" s="73"/>
    </row>
    <row r="155" spans="1:18" x14ac:dyDescent="0.2">
      <c r="C155" s="9" t="s">
        <v>176</v>
      </c>
      <c r="D155" s="1" t="s">
        <v>207</v>
      </c>
      <c r="E155" s="1"/>
      <c r="I155" s="73"/>
      <c r="J155" s="73"/>
      <c r="K155" s="9" t="s">
        <v>281</v>
      </c>
      <c r="L155" s="4" t="s">
        <v>311</v>
      </c>
      <c r="M155" s="1"/>
      <c r="N155" s="98"/>
      <c r="O155" s="73"/>
      <c r="P155" s="73"/>
      <c r="Q155" s="73"/>
      <c r="R155" s="73"/>
    </row>
    <row r="156" spans="1:18" x14ac:dyDescent="0.2">
      <c r="C156" s="7" t="s">
        <v>6</v>
      </c>
      <c r="D156" s="105">
        <f>D154/D128</f>
        <v>15998.438725123222</v>
      </c>
      <c r="E156" s="1" t="s">
        <v>100</v>
      </c>
      <c r="I156" s="73"/>
      <c r="J156" s="73"/>
      <c r="K156" s="9"/>
      <c r="L156" s="28">
        <f>(L151/2)*((L137/3.1416) + (L134*L139 / COS(L132/57.3)))</f>
        <v>609.67483492039116</v>
      </c>
      <c r="M156" s="1" t="s">
        <v>105</v>
      </c>
      <c r="N156" s="98"/>
      <c r="O156" s="73"/>
      <c r="P156" s="73"/>
      <c r="Q156" s="73"/>
      <c r="R156" s="73"/>
    </row>
    <row r="157" spans="1:18" ht="13.5" thickBot="1" x14ac:dyDescent="0.25">
      <c r="C157" s="9" t="s">
        <v>116</v>
      </c>
      <c r="D157" s="1" t="s">
        <v>179</v>
      </c>
      <c r="I157" s="73"/>
      <c r="J157" s="73"/>
      <c r="K157" s="9" t="s">
        <v>282</v>
      </c>
      <c r="L157" s="4" t="s">
        <v>283</v>
      </c>
      <c r="M157" s="1"/>
      <c r="N157" s="98"/>
      <c r="P157" s="73"/>
      <c r="Q157" s="73"/>
      <c r="R157" s="73"/>
    </row>
    <row r="158" spans="1:18" ht="13.5" thickBot="1" x14ac:dyDescent="0.25">
      <c r="C158" s="7" t="s">
        <v>6</v>
      </c>
      <c r="D158" s="138">
        <f>1000* D129 / D156</f>
        <v>2.5002439730063042</v>
      </c>
      <c r="I158" s="73"/>
      <c r="J158" s="73"/>
      <c r="K158" s="9"/>
      <c r="L158" s="28">
        <f>(L151/2)*(L134*L153)</f>
        <v>556.07034545294493</v>
      </c>
      <c r="M158" s="1" t="s">
        <v>105</v>
      </c>
      <c r="O158" s="73"/>
      <c r="P158" s="73"/>
      <c r="Q158" s="73"/>
      <c r="R158" s="73"/>
    </row>
    <row r="159" spans="1:18" x14ac:dyDescent="0.2">
      <c r="I159" s="73"/>
      <c r="J159" s="73"/>
      <c r="K159" s="9" t="s">
        <v>268</v>
      </c>
      <c r="L159" s="4" t="s">
        <v>280</v>
      </c>
      <c r="M159" s="1"/>
      <c r="O159" s="73"/>
      <c r="P159" s="73"/>
      <c r="Q159" s="73"/>
      <c r="R159" s="73"/>
    </row>
    <row r="160" spans="1:18" x14ac:dyDescent="0.2">
      <c r="I160" s="73"/>
      <c r="J160" s="73"/>
      <c r="K160" s="9"/>
      <c r="L160" s="28">
        <f>L156+L158</f>
        <v>1165.7451803733361</v>
      </c>
      <c r="M160" s="1"/>
      <c r="O160" s="73"/>
      <c r="P160" s="73"/>
      <c r="Q160" s="73"/>
      <c r="R160" s="73"/>
    </row>
    <row r="161" spans="2:18" x14ac:dyDescent="0.2">
      <c r="I161" s="73"/>
      <c r="J161" s="73"/>
      <c r="N161" s="73"/>
      <c r="O161" s="73"/>
      <c r="P161" s="73"/>
      <c r="Q161" s="73"/>
      <c r="R161" s="73"/>
    </row>
    <row r="162" spans="2:18" x14ac:dyDescent="0.2">
      <c r="G162" s="9"/>
      <c r="H162" s="1"/>
      <c r="I162" s="73"/>
      <c r="J162" s="1"/>
      <c r="L162" s="85"/>
      <c r="M162" s="73"/>
      <c r="N162" s="73"/>
      <c r="O162" s="73"/>
      <c r="P162" s="73"/>
      <c r="Q162" s="73"/>
      <c r="R162" s="73"/>
    </row>
    <row r="163" spans="2:18" x14ac:dyDescent="0.2">
      <c r="F163" s="1" t="s">
        <v>352</v>
      </c>
      <c r="G163" s="6"/>
      <c r="H163" s="28"/>
      <c r="I163" s="73"/>
      <c r="J163" s="73"/>
      <c r="K163" s="91"/>
      <c r="L163" s="85"/>
      <c r="M163" s="73"/>
      <c r="N163" s="73"/>
      <c r="P163" s="73"/>
      <c r="Q163" s="73"/>
      <c r="R163" s="73"/>
    </row>
    <row r="164" spans="2:18" x14ac:dyDescent="0.2">
      <c r="I164" s="73"/>
      <c r="J164" s="73"/>
      <c r="K164" s="91"/>
      <c r="L164" s="85"/>
      <c r="M164" s="73"/>
      <c r="N164" s="73"/>
      <c r="O164" s="73"/>
      <c r="P164" s="73"/>
      <c r="Q164" s="73"/>
      <c r="R164" s="73"/>
    </row>
    <row r="165" spans="2:18" x14ac:dyDescent="0.2">
      <c r="I165" s="73"/>
      <c r="J165" s="73"/>
      <c r="K165" s="91"/>
      <c r="L165" s="85"/>
      <c r="M165" s="73"/>
      <c r="N165" s="73"/>
      <c r="O165" s="73"/>
      <c r="P165" s="73"/>
      <c r="Q165" s="73"/>
      <c r="R165" s="73"/>
    </row>
    <row r="166" spans="2:18" x14ac:dyDescent="0.2">
      <c r="B166" s="1"/>
      <c r="C166" s="9"/>
      <c r="D166" s="4"/>
      <c r="F166" s="2"/>
      <c r="I166" s="73"/>
      <c r="J166" s="73"/>
      <c r="K166" s="91"/>
      <c r="L166" s="85"/>
      <c r="M166" s="73"/>
      <c r="N166" s="73"/>
      <c r="O166" s="73"/>
      <c r="P166" s="73"/>
      <c r="Q166" s="73"/>
      <c r="R166" s="73"/>
    </row>
    <row r="167" spans="2:18" x14ac:dyDescent="0.2">
      <c r="I167" s="73"/>
      <c r="J167" s="73"/>
      <c r="K167" s="91"/>
      <c r="L167" s="85"/>
      <c r="M167" s="73"/>
      <c r="N167" s="73"/>
      <c r="O167" s="73"/>
      <c r="P167" s="73"/>
      <c r="Q167" s="73"/>
      <c r="R167" s="73"/>
    </row>
    <row r="168" spans="2:18" x14ac:dyDescent="0.2">
      <c r="I168" s="73"/>
      <c r="J168" s="73"/>
      <c r="K168" s="99"/>
      <c r="L168" s="86"/>
      <c r="M168" s="98"/>
      <c r="N168" s="98"/>
      <c r="O168" s="73"/>
      <c r="P168" s="73"/>
      <c r="Q168" s="73"/>
      <c r="R168" s="73"/>
    </row>
    <row r="169" spans="2:18" x14ac:dyDescent="0.2">
      <c r="I169" s="73"/>
      <c r="J169" s="73"/>
      <c r="K169" s="91"/>
      <c r="L169" s="85"/>
      <c r="M169" s="73"/>
      <c r="N169" s="73"/>
      <c r="O169" s="73"/>
      <c r="P169" s="73"/>
      <c r="Q169" s="73"/>
      <c r="R169" s="73"/>
    </row>
    <row r="170" spans="2:18" x14ac:dyDescent="0.2">
      <c r="I170" s="73"/>
      <c r="J170" s="73"/>
      <c r="K170" s="91"/>
      <c r="L170" s="85"/>
      <c r="M170" s="73"/>
      <c r="N170" s="73"/>
      <c r="O170" s="73"/>
      <c r="P170" s="73"/>
      <c r="Q170" s="73"/>
      <c r="R170" s="73"/>
    </row>
    <row r="171" spans="2:18" x14ac:dyDescent="0.2">
      <c r="I171" s="73"/>
      <c r="J171" s="73"/>
      <c r="K171" s="91"/>
      <c r="L171" s="85"/>
      <c r="M171" s="73"/>
      <c r="N171" s="73"/>
      <c r="O171" s="73"/>
      <c r="P171" s="73"/>
      <c r="Q171" s="73"/>
      <c r="R171" s="73"/>
    </row>
    <row r="172" spans="2:18" x14ac:dyDescent="0.2">
      <c r="I172" s="73"/>
      <c r="J172" s="73"/>
      <c r="K172" s="91"/>
      <c r="L172" s="85"/>
      <c r="M172" s="73"/>
      <c r="N172" s="73"/>
      <c r="O172" s="73"/>
      <c r="P172" s="73"/>
      <c r="Q172" s="73"/>
      <c r="R172" s="73"/>
    </row>
    <row r="173" spans="2:18" x14ac:dyDescent="0.2">
      <c r="I173" s="73"/>
      <c r="J173" s="11"/>
      <c r="K173" s="91"/>
      <c r="L173" s="85"/>
      <c r="M173" s="73"/>
      <c r="N173" s="73"/>
      <c r="O173" s="73"/>
      <c r="P173" s="73"/>
      <c r="Q173" s="73"/>
      <c r="R173" s="73"/>
    </row>
    <row r="174" spans="2:18" x14ac:dyDescent="0.2">
      <c r="I174" s="73"/>
      <c r="J174" s="73"/>
      <c r="K174" s="91"/>
      <c r="L174" s="85"/>
      <c r="M174" s="73"/>
      <c r="N174" s="73"/>
      <c r="O174" s="73"/>
      <c r="P174" s="73"/>
      <c r="Q174" s="73"/>
      <c r="R174" s="73"/>
    </row>
    <row r="175" spans="2:18" x14ac:dyDescent="0.2">
      <c r="I175" s="73"/>
      <c r="J175" s="73"/>
      <c r="K175" s="91"/>
      <c r="L175" s="85"/>
      <c r="M175" s="73"/>
      <c r="N175" s="73"/>
      <c r="O175" s="73"/>
      <c r="P175" s="73"/>
      <c r="Q175" s="73"/>
      <c r="R175" s="73"/>
    </row>
    <row r="176" spans="2:18" x14ac:dyDescent="0.2">
      <c r="I176" s="73"/>
      <c r="J176" s="73"/>
      <c r="K176" s="91"/>
      <c r="L176" s="85"/>
      <c r="M176" s="73"/>
      <c r="N176" s="73"/>
      <c r="O176" s="73"/>
      <c r="P176" s="73"/>
      <c r="Q176" s="73"/>
      <c r="R176" s="73"/>
    </row>
    <row r="177" spans="2:18" x14ac:dyDescent="0.2">
      <c r="I177" s="73"/>
      <c r="J177" s="73"/>
      <c r="K177" s="91"/>
      <c r="L177" s="85"/>
      <c r="M177" s="73"/>
      <c r="N177" s="73"/>
      <c r="O177" s="73"/>
      <c r="P177" s="73"/>
      <c r="Q177" s="73"/>
      <c r="R177" s="73"/>
    </row>
    <row r="178" spans="2:18" x14ac:dyDescent="0.2">
      <c r="I178" s="73"/>
      <c r="J178" s="73"/>
      <c r="K178" s="91"/>
      <c r="L178" s="85"/>
      <c r="M178" s="73"/>
      <c r="N178" s="73"/>
      <c r="O178" s="73"/>
      <c r="P178" s="73"/>
      <c r="Q178" s="73"/>
      <c r="R178" s="73"/>
    </row>
    <row r="179" spans="2:18" x14ac:dyDescent="0.2">
      <c r="I179" s="73"/>
      <c r="J179" s="73"/>
      <c r="K179" s="91"/>
      <c r="L179" s="85"/>
      <c r="M179" s="73"/>
      <c r="N179" s="73"/>
      <c r="O179" s="73"/>
      <c r="P179" s="73"/>
      <c r="Q179" s="73"/>
      <c r="R179" s="73"/>
    </row>
    <row r="180" spans="2:18" x14ac:dyDescent="0.2">
      <c r="I180" s="73"/>
      <c r="J180" s="73"/>
      <c r="K180" s="91"/>
      <c r="L180" s="85"/>
      <c r="M180" s="73"/>
      <c r="N180" s="73"/>
      <c r="O180" s="73"/>
      <c r="P180" s="73"/>
      <c r="Q180" s="73"/>
      <c r="R180" s="73"/>
    </row>
    <row r="181" spans="2:18" x14ac:dyDescent="0.2">
      <c r="I181" s="73"/>
      <c r="J181" s="73"/>
      <c r="K181" s="91"/>
      <c r="L181" s="85"/>
      <c r="M181" s="73"/>
      <c r="N181" s="73"/>
      <c r="O181" s="73"/>
      <c r="P181" s="73"/>
      <c r="Q181" s="73"/>
      <c r="R181" s="73"/>
    </row>
    <row r="182" spans="2:18" x14ac:dyDescent="0.2">
      <c r="I182" s="73"/>
      <c r="J182" s="73"/>
      <c r="K182" s="91"/>
      <c r="L182" s="85"/>
      <c r="M182" s="73"/>
      <c r="N182" s="73"/>
      <c r="O182" s="73"/>
      <c r="P182" s="73"/>
      <c r="Q182" s="73"/>
      <c r="R182" s="73"/>
    </row>
    <row r="183" spans="2:18" x14ac:dyDescent="0.2">
      <c r="I183" s="73"/>
      <c r="J183" s="73"/>
      <c r="K183" s="91"/>
      <c r="L183" s="85"/>
      <c r="M183" s="73"/>
      <c r="N183" s="73"/>
      <c r="O183" s="73"/>
      <c r="P183" s="73"/>
      <c r="Q183" s="73"/>
      <c r="R183" s="73"/>
    </row>
    <row r="184" spans="2:18" x14ac:dyDescent="0.2">
      <c r="I184" s="73"/>
      <c r="J184" s="73"/>
      <c r="K184" s="91"/>
      <c r="L184" s="85"/>
      <c r="M184" s="73"/>
      <c r="N184" s="73"/>
      <c r="O184" s="73"/>
      <c r="P184" s="73"/>
      <c r="Q184" s="73"/>
      <c r="R184" s="73"/>
    </row>
    <row r="185" spans="2:18" x14ac:dyDescent="0.2">
      <c r="I185" s="73"/>
      <c r="J185" s="73"/>
      <c r="K185" s="91"/>
      <c r="L185" s="85"/>
      <c r="M185" s="73"/>
      <c r="N185" s="73"/>
      <c r="O185" s="73"/>
      <c r="P185" s="73"/>
      <c r="Q185" s="73"/>
      <c r="R185" s="73"/>
    </row>
    <row r="186" spans="2:18" x14ac:dyDescent="0.2">
      <c r="I186" s="73"/>
      <c r="J186" s="73"/>
      <c r="K186" s="91"/>
      <c r="L186" s="85"/>
      <c r="M186" s="73"/>
      <c r="N186" s="73"/>
      <c r="O186" s="73"/>
      <c r="P186" s="73"/>
      <c r="Q186" s="73"/>
      <c r="R186" s="73"/>
    </row>
    <row r="187" spans="2:18" x14ac:dyDescent="0.2">
      <c r="I187" s="73"/>
      <c r="J187" s="73"/>
      <c r="K187" s="91"/>
      <c r="L187" s="85"/>
      <c r="M187" s="73"/>
      <c r="N187" s="73"/>
      <c r="O187" s="73"/>
      <c r="P187" s="73"/>
      <c r="Q187" s="73"/>
      <c r="R187" s="73"/>
    </row>
    <row r="188" spans="2:18" x14ac:dyDescent="0.2">
      <c r="I188" s="73"/>
      <c r="J188" s="73"/>
      <c r="K188" s="91"/>
      <c r="L188" s="85"/>
      <c r="M188" s="73"/>
      <c r="N188" s="73"/>
      <c r="O188" s="73"/>
      <c r="P188" s="73"/>
      <c r="Q188" s="73"/>
      <c r="R188" s="73"/>
    </row>
    <row r="189" spans="2:18" x14ac:dyDescent="0.2">
      <c r="B189" t="s">
        <v>29</v>
      </c>
      <c r="I189" s="73"/>
      <c r="J189" s="73"/>
      <c r="K189" s="91"/>
      <c r="L189" s="85"/>
      <c r="M189" s="73"/>
      <c r="N189" s="73"/>
      <c r="O189" s="73"/>
      <c r="P189" s="73"/>
      <c r="Q189" s="73"/>
      <c r="R189" s="73"/>
    </row>
    <row r="190" spans="2:18" x14ac:dyDescent="0.2">
      <c r="I190" s="73"/>
      <c r="J190" s="73"/>
      <c r="K190" s="91"/>
      <c r="L190" s="85"/>
      <c r="M190" s="73"/>
      <c r="N190" s="73"/>
      <c r="O190" s="73"/>
      <c r="P190" s="73"/>
      <c r="Q190" s="73"/>
      <c r="R190" s="73"/>
    </row>
    <row r="191" spans="2:18" x14ac:dyDescent="0.2">
      <c r="I191" s="73"/>
      <c r="J191" s="73"/>
      <c r="K191" s="91"/>
      <c r="L191" s="85"/>
      <c r="M191" s="73"/>
      <c r="N191" s="73"/>
      <c r="O191" s="73"/>
      <c r="P191" s="73"/>
      <c r="Q191" s="73"/>
      <c r="R191" s="73"/>
    </row>
    <row r="192" spans="2:18" x14ac:dyDescent="0.2">
      <c r="I192" s="73"/>
      <c r="J192" s="73"/>
      <c r="K192" s="91"/>
      <c r="L192" s="85"/>
      <c r="M192" s="73"/>
      <c r="N192" s="73"/>
      <c r="O192" s="73"/>
      <c r="P192" s="73"/>
      <c r="Q192" s="73"/>
      <c r="R192" s="73"/>
    </row>
    <row r="193" spans="6:18" x14ac:dyDescent="0.2">
      <c r="I193" s="73"/>
      <c r="J193" s="73"/>
      <c r="K193" s="91"/>
      <c r="L193" s="85"/>
      <c r="M193" s="73"/>
      <c r="N193" s="73"/>
      <c r="O193" s="73"/>
      <c r="P193" s="73"/>
      <c r="Q193" s="73"/>
      <c r="R193" s="73"/>
    </row>
    <row r="194" spans="6:18" x14ac:dyDescent="0.2">
      <c r="I194" s="73"/>
      <c r="J194" s="73"/>
      <c r="K194" s="91"/>
      <c r="L194" s="85"/>
      <c r="M194" s="73"/>
      <c r="N194" s="73"/>
      <c r="O194" s="73"/>
      <c r="P194" s="73"/>
      <c r="Q194" s="73"/>
      <c r="R194" s="73"/>
    </row>
    <row r="195" spans="6:18" x14ac:dyDescent="0.2">
      <c r="I195" s="73"/>
      <c r="J195" s="73"/>
      <c r="K195" s="91"/>
      <c r="L195" s="85"/>
      <c r="M195" s="73"/>
      <c r="N195" s="73"/>
      <c r="O195" s="73"/>
      <c r="P195" s="73"/>
      <c r="Q195" s="73"/>
      <c r="R195" s="73"/>
    </row>
    <row r="196" spans="6:18" x14ac:dyDescent="0.2">
      <c r="I196" s="73"/>
      <c r="J196" s="73"/>
      <c r="K196" s="91"/>
      <c r="L196" s="85"/>
      <c r="M196" s="73"/>
      <c r="N196" s="73"/>
      <c r="O196" s="73"/>
      <c r="P196" s="73"/>
      <c r="Q196" s="73"/>
      <c r="R196" s="73"/>
    </row>
    <row r="197" spans="6:18" x14ac:dyDescent="0.2">
      <c r="I197" s="73"/>
      <c r="J197" s="73"/>
      <c r="K197" s="91"/>
      <c r="L197" s="85"/>
      <c r="M197" s="73"/>
      <c r="N197" s="73"/>
      <c r="O197" s="73"/>
      <c r="P197" s="73"/>
      <c r="Q197" s="73"/>
      <c r="R197" s="73"/>
    </row>
    <row r="198" spans="6:18" x14ac:dyDescent="0.2">
      <c r="I198" s="73"/>
      <c r="J198" s="73"/>
      <c r="K198" s="91"/>
      <c r="L198" s="85"/>
      <c r="M198" s="73"/>
      <c r="N198" s="73"/>
      <c r="O198" s="73"/>
      <c r="P198" s="73"/>
      <c r="Q198" s="73"/>
      <c r="R198" s="73"/>
    </row>
    <row r="199" spans="6:18" x14ac:dyDescent="0.2">
      <c r="I199" s="73"/>
      <c r="J199" s="73"/>
      <c r="K199" s="91"/>
      <c r="L199" s="85"/>
      <c r="M199" s="73"/>
      <c r="N199" s="73"/>
      <c r="O199" s="73"/>
      <c r="P199" s="73"/>
      <c r="Q199" s="73"/>
      <c r="R199" s="73"/>
    </row>
    <row r="200" spans="6:18" x14ac:dyDescent="0.2">
      <c r="I200" s="73"/>
      <c r="J200" s="73"/>
      <c r="K200" s="91"/>
      <c r="L200" s="85"/>
      <c r="M200" s="73"/>
      <c r="N200" s="73"/>
      <c r="O200" s="73"/>
      <c r="P200" s="73"/>
      <c r="Q200" s="73"/>
      <c r="R200" s="73"/>
    </row>
    <row r="201" spans="6:18" x14ac:dyDescent="0.2">
      <c r="I201" s="73"/>
      <c r="J201" s="73"/>
      <c r="K201" s="91"/>
      <c r="L201" s="85"/>
      <c r="M201" s="73"/>
      <c r="N201" s="73"/>
      <c r="O201" s="73"/>
      <c r="P201" s="73"/>
      <c r="Q201" s="73"/>
      <c r="R201" s="73"/>
    </row>
    <row r="202" spans="6:18" x14ac:dyDescent="0.2">
      <c r="I202" s="73"/>
      <c r="J202" s="73"/>
      <c r="K202" s="91"/>
      <c r="L202" s="85"/>
      <c r="M202" s="73"/>
      <c r="N202" s="73"/>
      <c r="O202" s="73"/>
      <c r="P202" s="73"/>
      <c r="Q202" s="73"/>
      <c r="R202" s="73"/>
    </row>
    <row r="203" spans="6:18" x14ac:dyDescent="0.2">
      <c r="I203" s="73"/>
      <c r="J203" s="73"/>
      <c r="K203" s="91"/>
      <c r="L203" s="85"/>
      <c r="M203" s="73"/>
      <c r="N203" s="73"/>
      <c r="O203" s="73"/>
      <c r="P203" s="73"/>
      <c r="Q203" s="73"/>
      <c r="R203" s="73"/>
    </row>
    <row r="204" spans="6:18" x14ac:dyDescent="0.2">
      <c r="I204" s="83"/>
      <c r="J204" s="73"/>
      <c r="K204" s="91"/>
      <c r="L204" s="85"/>
      <c r="M204" s="73"/>
      <c r="N204" s="73"/>
      <c r="O204" s="73"/>
      <c r="P204" s="73"/>
      <c r="Q204" s="73"/>
      <c r="R204" s="73"/>
    </row>
    <row r="205" spans="6:18" x14ac:dyDescent="0.2">
      <c r="I205" s="73"/>
      <c r="J205" s="73"/>
      <c r="K205" s="91"/>
      <c r="L205" s="85"/>
      <c r="M205" s="73"/>
      <c r="N205" s="73"/>
      <c r="O205" s="73"/>
      <c r="P205" s="73"/>
      <c r="Q205" s="73"/>
      <c r="R205" s="73"/>
    </row>
    <row r="206" spans="6:18" x14ac:dyDescent="0.2">
      <c r="I206" s="73"/>
      <c r="J206" s="73"/>
      <c r="K206" s="91"/>
      <c r="L206" s="85"/>
      <c r="M206" s="73"/>
      <c r="N206" s="73"/>
      <c r="O206" s="73"/>
      <c r="P206" s="73"/>
      <c r="Q206" s="73"/>
      <c r="R206" s="73"/>
    </row>
    <row r="207" spans="6:18" x14ac:dyDescent="0.2">
      <c r="H207" s="131" t="s">
        <v>350</v>
      </c>
      <c r="J207" s="25" t="s">
        <v>257</v>
      </c>
      <c r="K207" s="91"/>
      <c r="L207" s="85"/>
      <c r="M207" s="73"/>
      <c r="N207" s="73"/>
      <c r="O207" s="73"/>
      <c r="P207" s="73"/>
      <c r="Q207" s="73"/>
      <c r="R207" s="73"/>
    </row>
    <row r="208" spans="6:18" x14ac:dyDescent="0.2">
      <c r="F208" s="134"/>
      <c r="G208" s="25" t="s">
        <v>106</v>
      </c>
      <c r="H208" s="131" t="s">
        <v>109</v>
      </c>
      <c r="I208" s="25" t="s">
        <v>107</v>
      </c>
      <c r="J208" s="25" t="s">
        <v>347</v>
      </c>
      <c r="K208" s="91"/>
      <c r="L208" s="85"/>
      <c r="M208" s="73"/>
      <c r="N208" s="73"/>
      <c r="O208" s="73"/>
      <c r="P208" s="73"/>
      <c r="Q208" s="73"/>
      <c r="R208" s="73"/>
    </row>
    <row r="209" spans="3:18" ht="13.5" thickBot="1" x14ac:dyDescent="0.25">
      <c r="F209" s="131"/>
      <c r="G209" s="21" t="s">
        <v>110</v>
      </c>
      <c r="H209" s="21" t="s">
        <v>349</v>
      </c>
      <c r="I209" s="21" t="s">
        <v>108</v>
      </c>
      <c r="J209" s="129" t="s">
        <v>348</v>
      </c>
      <c r="K209" s="91"/>
      <c r="L209" s="85"/>
      <c r="M209" s="73"/>
      <c r="N209" s="73"/>
      <c r="O209" s="73"/>
      <c r="P209" s="73"/>
      <c r="Q209" s="73"/>
      <c r="R209" s="73"/>
    </row>
    <row r="210" spans="3:18" x14ac:dyDescent="0.2">
      <c r="F210" s="131"/>
      <c r="G210" s="49">
        <v>0.25</v>
      </c>
      <c r="H210" s="39">
        <v>0.189</v>
      </c>
      <c r="I210" s="39">
        <v>20</v>
      </c>
      <c r="J210" s="132">
        <f>3.142*H210^2/4</f>
        <v>2.8058845500000002E-2</v>
      </c>
      <c r="K210" s="91"/>
      <c r="L210" s="85"/>
      <c r="M210" s="73"/>
      <c r="N210" s="73"/>
      <c r="O210" s="73"/>
      <c r="P210" s="73"/>
      <c r="Q210" s="73"/>
      <c r="R210" s="73"/>
    </row>
    <row r="211" spans="3:18" x14ac:dyDescent="0.2">
      <c r="F211" s="135"/>
      <c r="G211" s="49">
        <v>0.375</v>
      </c>
      <c r="H211" s="39">
        <v>0.29799999999999999</v>
      </c>
      <c r="I211" s="39">
        <v>16</v>
      </c>
      <c r="J211" s="132">
        <f>3.142*H211^2/4</f>
        <v>6.975554199999999E-2</v>
      </c>
      <c r="K211" s="91"/>
      <c r="L211" s="85"/>
      <c r="M211" s="73"/>
      <c r="N211" s="73"/>
      <c r="O211" s="73"/>
      <c r="P211" s="73"/>
      <c r="Q211" s="73"/>
      <c r="R211" s="73"/>
    </row>
    <row r="212" spans="3:18" x14ac:dyDescent="0.2">
      <c r="F212" s="135"/>
      <c r="G212" s="49">
        <v>0.5</v>
      </c>
      <c r="H212" s="39">
        <v>0.40600000000000003</v>
      </c>
      <c r="I212" s="39">
        <v>13</v>
      </c>
      <c r="J212" s="132">
        <f>3.142*H212^2/4</f>
        <v>0.12947867800000001</v>
      </c>
      <c r="K212" s="91"/>
      <c r="L212" s="85"/>
      <c r="M212" s="73"/>
      <c r="N212" s="73"/>
      <c r="O212" s="73"/>
      <c r="P212" s="73"/>
      <c r="Q212" s="73"/>
      <c r="R212" s="73"/>
    </row>
    <row r="213" spans="3:18" x14ac:dyDescent="0.2">
      <c r="F213" s="135"/>
      <c r="G213" s="49">
        <v>0.625</v>
      </c>
      <c r="H213" s="39">
        <v>0.51400000000000001</v>
      </c>
      <c r="I213" s="39">
        <v>11</v>
      </c>
      <c r="J213" s="132">
        <f>3.142*H213^2/4</f>
        <v>0.20752595799999998</v>
      </c>
      <c r="K213" s="91"/>
      <c r="L213" s="85"/>
      <c r="M213" s="73"/>
      <c r="N213" s="73"/>
      <c r="O213" s="73"/>
      <c r="P213" s="73"/>
      <c r="Q213" s="73"/>
      <c r="R213" s="73"/>
    </row>
    <row r="214" spans="3:18" x14ac:dyDescent="0.2">
      <c r="F214" s="137"/>
      <c r="G214" s="49">
        <v>0.75</v>
      </c>
      <c r="H214" s="39">
        <v>0.627</v>
      </c>
      <c r="I214" s="39">
        <v>10</v>
      </c>
      <c r="J214" s="132">
        <f>3.142*H214^2/4</f>
        <v>0.30880282949999999</v>
      </c>
      <c r="K214" s="91"/>
      <c r="L214" s="85"/>
      <c r="M214" s="73"/>
      <c r="N214" s="73"/>
      <c r="O214" s="73"/>
      <c r="P214" s="73"/>
      <c r="Q214" s="73"/>
      <c r="R214" s="73"/>
    </row>
    <row r="215" spans="3:18" x14ac:dyDescent="0.2">
      <c r="F215" s="135"/>
      <c r="G215" s="49">
        <v>0.875</v>
      </c>
      <c r="H215" s="39">
        <v>0.73899999999999999</v>
      </c>
      <c r="I215" s="39">
        <v>9</v>
      </c>
      <c r="J215" s="132">
        <f>3.142*H215^2/4</f>
        <v>0.42897804549999996</v>
      </c>
      <c r="K215" s="91"/>
      <c r="L215" s="85"/>
      <c r="M215" s="73"/>
      <c r="N215" s="73"/>
      <c r="O215" s="73"/>
      <c r="P215" s="73"/>
      <c r="Q215" s="73"/>
      <c r="R215" s="73"/>
    </row>
    <row r="216" spans="3:18" ht="13.5" thickBot="1" x14ac:dyDescent="0.25">
      <c r="F216" s="135"/>
      <c r="G216" s="50">
        <v>1</v>
      </c>
      <c r="H216" s="42">
        <v>0.84699999999999998</v>
      </c>
      <c r="I216" s="42">
        <v>8</v>
      </c>
      <c r="J216" s="133">
        <f>3.142*H216^2/4</f>
        <v>0.56352476949999997</v>
      </c>
      <c r="K216" s="91"/>
      <c r="L216" s="85"/>
      <c r="M216" s="73"/>
      <c r="N216" s="73"/>
      <c r="O216" s="73"/>
      <c r="P216" s="73"/>
      <c r="Q216" s="73"/>
      <c r="R216" s="73"/>
    </row>
    <row r="217" spans="3:18" x14ac:dyDescent="0.2">
      <c r="F217" s="130"/>
      <c r="G217" s="130"/>
      <c r="H217" s="134"/>
      <c r="I217" s="136"/>
      <c r="J217" s="73"/>
      <c r="K217" s="91"/>
      <c r="L217" s="85"/>
      <c r="M217" s="73"/>
      <c r="N217" s="73"/>
      <c r="O217" s="73"/>
      <c r="P217" s="73"/>
      <c r="Q217" s="73"/>
      <c r="R217" s="73"/>
    </row>
    <row r="218" spans="3:18" x14ac:dyDescent="0.2">
      <c r="F218" s="134"/>
      <c r="G218" s="134"/>
      <c r="H218" s="134"/>
      <c r="I218" s="134"/>
      <c r="J218" s="73"/>
      <c r="K218" s="91"/>
      <c r="L218" s="85"/>
      <c r="M218" s="73"/>
      <c r="N218" s="73"/>
      <c r="O218" s="73"/>
      <c r="P218" s="73"/>
      <c r="Q218" s="73"/>
      <c r="R218" s="73"/>
    </row>
    <row r="219" spans="3:18" ht="13.5" thickBot="1" x14ac:dyDescent="0.25">
      <c r="C219" s="2"/>
      <c r="D219" s="5" t="s">
        <v>0</v>
      </c>
      <c r="I219" s="73"/>
      <c r="J219" s="73"/>
      <c r="K219" s="91"/>
      <c r="L219" s="85"/>
      <c r="M219" s="73"/>
      <c r="N219" s="73"/>
      <c r="O219" s="73"/>
      <c r="P219" s="73"/>
      <c r="Q219" s="73"/>
      <c r="R219" s="73"/>
    </row>
    <row r="220" spans="3:18" x14ac:dyDescent="0.2">
      <c r="C220" s="2" t="s">
        <v>198</v>
      </c>
      <c r="D220" s="68">
        <v>6000</v>
      </c>
      <c r="E220" t="s">
        <v>40</v>
      </c>
      <c r="G220" s="4" t="s">
        <v>74</v>
      </c>
      <c r="H220" s="25"/>
      <c r="I220" s="73"/>
      <c r="J220" s="73"/>
      <c r="K220" s="91"/>
      <c r="L220" s="85"/>
      <c r="M220" s="73"/>
      <c r="N220" s="73"/>
      <c r="O220" s="73"/>
      <c r="P220" s="73"/>
      <c r="Q220" s="73"/>
      <c r="R220" s="73"/>
    </row>
    <row r="221" spans="3:18" ht="13.5" thickBot="1" x14ac:dyDescent="0.25">
      <c r="C221" s="2" t="s">
        <v>123</v>
      </c>
      <c r="D221" s="70">
        <v>40000</v>
      </c>
      <c r="E221" t="s">
        <v>100</v>
      </c>
      <c r="G221" s="43" t="s">
        <v>120</v>
      </c>
      <c r="H221" s="27"/>
      <c r="I221" s="73"/>
      <c r="J221" s="73"/>
      <c r="K221" s="91"/>
      <c r="L221" s="85"/>
      <c r="M221" s="73"/>
      <c r="N221" s="73"/>
      <c r="O221" s="73"/>
      <c r="P221" s="73"/>
      <c r="Q221" s="73"/>
      <c r="R221" s="73"/>
    </row>
    <row r="222" spans="3:18" x14ac:dyDescent="0.2">
      <c r="C222" s="2" t="s">
        <v>46</v>
      </c>
      <c r="D222" s="69">
        <v>0.75</v>
      </c>
      <c r="E222" t="s">
        <v>4</v>
      </c>
      <c r="G222" t="s">
        <v>79</v>
      </c>
      <c r="H222" s="24">
        <v>14</v>
      </c>
      <c r="I222" s="73"/>
      <c r="J222" s="73"/>
      <c r="K222" s="91"/>
      <c r="L222" s="85"/>
      <c r="M222" s="73"/>
      <c r="N222" s="73"/>
      <c r="O222" s="73"/>
      <c r="P222" s="73"/>
      <c r="Q222" s="73"/>
      <c r="R222" s="73"/>
    </row>
    <row r="223" spans="3:18" x14ac:dyDescent="0.2">
      <c r="C223" s="2" t="s">
        <v>111</v>
      </c>
      <c r="D223" s="70">
        <v>0.30880000000000002</v>
      </c>
      <c r="E223" t="s">
        <v>112</v>
      </c>
      <c r="G223" t="s">
        <v>121</v>
      </c>
      <c r="H223" s="24">
        <v>40</v>
      </c>
      <c r="I223" s="73"/>
      <c r="J223" s="73"/>
      <c r="K223" s="91"/>
      <c r="L223" s="85"/>
      <c r="M223" s="73"/>
      <c r="N223" s="73"/>
      <c r="O223" s="73"/>
      <c r="P223" s="73"/>
      <c r="Q223" s="73"/>
      <c r="R223" s="73"/>
    </row>
    <row r="224" spans="3:18" ht="13.5" thickBot="1" x14ac:dyDescent="0.25">
      <c r="C224" s="2" t="s">
        <v>152</v>
      </c>
      <c r="D224" s="69">
        <v>0.15</v>
      </c>
      <c r="G224" s="30" t="s">
        <v>122</v>
      </c>
      <c r="H224" s="27">
        <v>50</v>
      </c>
      <c r="I224" s="73"/>
      <c r="J224" s="73"/>
      <c r="K224" s="91"/>
      <c r="L224" s="85"/>
      <c r="M224" s="73"/>
      <c r="N224" s="73"/>
      <c r="O224" s="73"/>
      <c r="P224" s="73"/>
      <c r="Q224" s="73"/>
      <c r="R224" s="73"/>
    </row>
    <row r="225" spans="3:18" ht="13.5" thickBot="1" x14ac:dyDescent="0.25">
      <c r="C225" s="2" t="s">
        <v>102</v>
      </c>
      <c r="D225" s="72">
        <v>-159.28563631986492</v>
      </c>
      <c r="E225" t="s">
        <v>105</v>
      </c>
      <c r="H225" s="24"/>
      <c r="I225" s="73"/>
      <c r="J225" s="73"/>
      <c r="K225" s="91"/>
      <c r="L225" s="85"/>
      <c r="M225" s="73"/>
      <c r="N225" s="73"/>
      <c r="O225" s="73"/>
      <c r="P225" s="73"/>
      <c r="Q225" s="73"/>
      <c r="R225" s="73"/>
    </row>
    <row r="226" spans="3:18" x14ac:dyDescent="0.2">
      <c r="C226" s="2"/>
      <c r="D226" s="5" t="s">
        <v>101</v>
      </c>
      <c r="H226" s="24"/>
      <c r="I226" s="73"/>
      <c r="J226" s="73"/>
      <c r="K226" s="91"/>
      <c r="L226" s="85"/>
      <c r="M226" s="73"/>
      <c r="N226" s="73"/>
      <c r="O226" s="73"/>
      <c r="P226" s="73"/>
      <c r="Q226" s="73"/>
      <c r="R226" s="73"/>
    </row>
    <row r="227" spans="3:18" x14ac:dyDescent="0.2">
      <c r="C227" s="9" t="s">
        <v>103</v>
      </c>
      <c r="D227" s="1" t="s">
        <v>104</v>
      </c>
      <c r="E227" s="1"/>
      <c r="G227">
        <v>159</v>
      </c>
      <c r="H227" s="24"/>
      <c r="I227" s="73"/>
      <c r="J227" s="73"/>
      <c r="K227" s="91"/>
      <c r="L227" s="85"/>
      <c r="M227" s="73"/>
      <c r="N227" s="73"/>
      <c r="O227" s="73"/>
      <c r="P227" s="73"/>
      <c r="Q227" s="73"/>
      <c r="R227" s="73"/>
    </row>
    <row r="228" spans="3:18" x14ac:dyDescent="0.2">
      <c r="C228" s="7" t="s">
        <v>6</v>
      </c>
      <c r="D228" s="8">
        <f>1.33 * D224</f>
        <v>0.19950000000000001</v>
      </c>
      <c r="E228" s="1"/>
      <c r="I228" s="73"/>
      <c r="J228" s="73"/>
      <c r="K228" s="91"/>
      <c r="L228" s="85"/>
      <c r="M228" s="73"/>
      <c r="N228" s="73"/>
      <c r="O228" s="73"/>
      <c r="P228" s="73"/>
      <c r="Q228" s="73"/>
      <c r="R228" s="73"/>
    </row>
    <row r="229" spans="3:18" x14ac:dyDescent="0.2">
      <c r="C229" s="9" t="s">
        <v>117</v>
      </c>
      <c r="D229" s="4" t="s">
        <v>113</v>
      </c>
      <c r="E229" s="1"/>
      <c r="I229" s="73"/>
      <c r="J229" s="73"/>
      <c r="K229" s="91"/>
      <c r="L229" s="85"/>
      <c r="M229" s="73"/>
      <c r="N229" s="73"/>
      <c r="O229" s="73"/>
      <c r="P229" s="73"/>
      <c r="Q229" s="73"/>
      <c r="R229" s="73"/>
    </row>
    <row r="230" spans="3:18" x14ac:dyDescent="0.2">
      <c r="C230" s="7" t="s">
        <v>6</v>
      </c>
      <c r="D230" s="28">
        <f>D225/(D228*D222)</f>
        <v>-1064.5656562731156</v>
      </c>
      <c r="E230" s="1" t="s">
        <v>40</v>
      </c>
      <c r="I230" s="73"/>
      <c r="J230" s="73"/>
      <c r="K230" s="91"/>
      <c r="L230" s="85"/>
      <c r="M230" s="73"/>
      <c r="N230" s="73"/>
      <c r="O230" s="73"/>
      <c r="P230" s="73"/>
      <c r="Q230" s="73"/>
      <c r="R230" s="73"/>
    </row>
    <row r="231" spans="3:18" x14ac:dyDescent="0.2">
      <c r="C231" s="9" t="s">
        <v>118</v>
      </c>
      <c r="D231" s="1" t="s">
        <v>199</v>
      </c>
      <c r="E231" s="1"/>
      <c r="I231" s="73"/>
      <c r="J231" s="73"/>
      <c r="K231" s="91"/>
      <c r="L231" s="85"/>
      <c r="M231" s="73"/>
      <c r="N231" s="73"/>
      <c r="O231" s="73"/>
      <c r="P231" s="73"/>
      <c r="Q231" s="73"/>
      <c r="R231" s="73"/>
    </row>
    <row r="232" spans="3:18" x14ac:dyDescent="0.2">
      <c r="C232" s="7" t="s">
        <v>6</v>
      </c>
      <c r="D232" s="28">
        <f>(D230 + D220)/D223</f>
        <v>15982.624170100013</v>
      </c>
      <c r="E232" s="1" t="s">
        <v>100</v>
      </c>
      <c r="I232" s="73"/>
      <c r="J232" s="73"/>
      <c r="K232" s="91"/>
      <c r="L232" s="85"/>
      <c r="M232" s="73"/>
      <c r="N232" s="73"/>
      <c r="O232" s="73"/>
      <c r="P232" s="73"/>
      <c r="Q232" s="73"/>
      <c r="R232" s="73"/>
    </row>
    <row r="233" spans="3:18" x14ac:dyDescent="0.2">
      <c r="C233" s="9" t="s">
        <v>200</v>
      </c>
      <c r="D233" s="1" t="s">
        <v>201</v>
      </c>
      <c r="I233" s="73"/>
      <c r="J233" s="73"/>
      <c r="K233" s="91"/>
      <c r="L233" s="85"/>
      <c r="M233" s="73"/>
      <c r="N233" s="73"/>
      <c r="O233" s="73"/>
      <c r="P233" s="73"/>
      <c r="Q233" s="73"/>
      <c r="R233" s="73"/>
    </row>
    <row r="234" spans="3:18" x14ac:dyDescent="0.2">
      <c r="D234" s="45">
        <f>3.1416* D222^4 / 32</f>
        <v>3.1063183593749998E-2</v>
      </c>
      <c r="E234" s="1" t="s">
        <v>202</v>
      </c>
      <c r="I234" s="73"/>
      <c r="J234" s="73"/>
      <c r="K234" s="91"/>
      <c r="L234" s="85"/>
      <c r="M234" s="73"/>
      <c r="N234" s="73"/>
      <c r="O234" s="73"/>
      <c r="P234" s="73"/>
      <c r="Q234" s="73"/>
      <c r="R234" s="73"/>
    </row>
    <row r="235" spans="3:18" x14ac:dyDescent="0.2">
      <c r="C235" s="9" t="s">
        <v>119</v>
      </c>
      <c r="D235" s="1" t="s">
        <v>115</v>
      </c>
      <c r="E235" s="1"/>
      <c r="G235" t="s">
        <v>153</v>
      </c>
      <c r="I235" s="73"/>
      <c r="J235" s="73"/>
      <c r="K235" s="91"/>
      <c r="L235" s="85"/>
      <c r="M235" s="73"/>
      <c r="N235" s="73"/>
      <c r="O235" s="73"/>
      <c r="P235" s="73"/>
      <c r="Q235" s="73"/>
      <c r="R235" s="73"/>
    </row>
    <row r="236" spans="3:18" x14ac:dyDescent="0.2">
      <c r="C236" s="7" t="s">
        <v>6</v>
      </c>
      <c r="D236" s="28">
        <f>0.4*D225*D222/(2*D234)</f>
        <v>-769.16924422347518</v>
      </c>
      <c r="E236" s="1" t="s">
        <v>100</v>
      </c>
      <c r="H236" t="s">
        <v>29</v>
      </c>
      <c r="I236" s="73"/>
      <c r="J236" s="73"/>
      <c r="K236" s="91"/>
      <c r="L236" s="85"/>
      <c r="M236" s="73"/>
      <c r="N236" s="73"/>
      <c r="O236" s="73"/>
      <c r="P236" s="73"/>
      <c r="Q236" s="73"/>
      <c r="R236" s="73"/>
    </row>
    <row r="237" spans="3:18" x14ac:dyDescent="0.2">
      <c r="C237" s="9" t="s">
        <v>125</v>
      </c>
      <c r="D237" s="1" t="s">
        <v>114</v>
      </c>
      <c r="I237" s="73"/>
      <c r="J237" s="73"/>
      <c r="K237" s="91"/>
      <c r="L237" s="85"/>
      <c r="M237" s="73"/>
      <c r="N237" s="73"/>
      <c r="O237" s="73"/>
      <c r="P237" s="73"/>
      <c r="Q237" s="73"/>
      <c r="R237" s="73"/>
    </row>
    <row r="238" spans="3:18" x14ac:dyDescent="0.2">
      <c r="C238" s="7" t="s">
        <v>6</v>
      </c>
      <c r="D238" s="28">
        <f>(D232^2 + D236^2)^(1/2)</f>
        <v>16001.121732207541</v>
      </c>
      <c r="E238" s="1" t="s">
        <v>100</v>
      </c>
      <c r="I238" s="73"/>
      <c r="J238" s="73"/>
      <c r="K238" s="91"/>
      <c r="L238" s="85"/>
      <c r="M238" s="73"/>
      <c r="N238" s="73"/>
      <c r="O238" s="73"/>
      <c r="P238" s="73"/>
      <c r="Q238" s="73"/>
      <c r="R238" s="73"/>
    </row>
    <row r="239" spans="3:18" ht="13.5" thickBot="1" x14ac:dyDescent="0.25">
      <c r="C239" s="9" t="s">
        <v>116</v>
      </c>
      <c r="D239" s="1" t="s">
        <v>124</v>
      </c>
      <c r="I239" s="73"/>
      <c r="J239" s="73"/>
      <c r="K239" s="91"/>
      <c r="L239" s="85"/>
      <c r="M239" s="73"/>
      <c r="N239" s="73"/>
      <c r="O239" s="73"/>
      <c r="P239" s="73"/>
      <c r="Q239" s="73"/>
      <c r="R239" s="73"/>
    </row>
    <row r="240" spans="3:18" ht="13.5" thickBot="1" x14ac:dyDescent="0.25">
      <c r="C240" s="7" t="s">
        <v>6</v>
      </c>
      <c r="D240" s="138">
        <f>D221/D238</f>
        <v>2.4998247416296318</v>
      </c>
      <c r="I240" s="73"/>
      <c r="J240" s="73"/>
      <c r="K240" s="91"/>
      <c r="L240" s="85"/>
      <c r="M240" s="73"/>
      <c r="N240" s="73"/>
      <c r="O240" s="73"/>
      <c r="P240" s="73"/>
      <c r="Q240" s="73"/>
      <c r="R240" s="73"/>
    </row>
    <row r="241" spans="9:18" x14ac:dyDescent="0.2">
      <c r="I241" s="73"/>
      <c r="J241" s="73"/>
      <c r="K241" s="91"/>
      <c r="L241" s="85"/>
      <c r="M241" s="73"/>
      <c r="N241" s="73"/>
      <c r="O241" s="73"/>
      <c r="P241" s="73"/>
      <c r="Q241" s="73"/>
      <c r="R241" s="73"/>
    </row>
    <row r="242" spans="9:18" x14ac:dyDescent="0.2">
      <c r="I242" s="73"/>
      <c r="J242" s="73"/>
      <c r="K242" s="91"/>
      <c r="L242" s="85"/>
      <c r="M242" s="73"/>
      <c r="N242" s="73"/>
      <c r="O242" s="73"/>
      <c r="P242" s="73"/>
      <c r="Q242" s="73"/>
      <c r="R242" s="73"/>
    </row>
    <row r="243" spans="9:18" x14ac:dyDescent="0.2">
      <c r="I243" s="73"/>
      <c r="J243" s="73"/>
      <c r="K243" s="91"/>
      <c r="L243" s="85"/>
      <c r="M243" s="73"/>
      <c r="N243" s="73"/>
      <c r="O243" s="73"/>
      <c r="P243" s="73"/>
      <c r="Q243" s="73"/>
      <c r="R243" s="73"/>
    </row>
    <row r="244" spans="9:18" x14ac:dyDescent="0.2">
      <c r="I244" s="73"/>
      <c r="J244" s="73"/>
      <c r="K244" s="91"/>
      <c r="L244" s="85"/>
      <c r="M244" s="73"/>
      <c r="N244" s="73"/>
      <c r="O244" s="73"/>
      <c r="P244" s="73"/>
      <c r="Q244" s="73"/>
      <c r="R244" s="73"/>
    </row>
    <row r="245" spans="9:18" x14ac:dyDescent="0.2">
      <c r="I245" s="73"/>
      <c r="J245" s="73"/>
      <c r="K245" s="91"/>
      <c r="L245" s="85"/>
      <c r="M245" s="73"/>
      <c r="N245" s="73"/>
      <c r="O245" s="73"/>
      <c r="P245" s="73"/>
      <c r="Q245" s="73"/>
      <c r="R245" s="73"/>
    </row>
    <row r="246" spans="9:18" x14ac:dyDescent="0.2">
      <c r="I246" s="73"/>
      <c r="J246" s="73"/>
      <c r="K246" s="91"/>
      <c r="L246" s="85"/>
      <c r="M246" s="73"/>
      <c r="N246" s="73"/>
      <c r="O246" s="73"/>
      <c r="P246" s="73"/>
      <c r="Q246" s="73"/>
      <c r="R246" s="73"/>
    </row>
    <row r="247" spans="9:18" x14ac:dyDescent="0.2">
      <c r="I247" s="73"/>
      <c r="J247" s="73"/>
      <c r="K247" s="91"/>
      <c r="L247" s="85"/>
      <c r="M247" s="73"/>
      <c r="N247" s="73"/>
      <c r="O247" s="73"/>
      <c r="P247" s="73"/>
      <c r="Q247" s="73"/>
      <c r="R247" s="73"/>
    </row>
    <row r="248" spans="9:18" x14ac:dyDescent="0.2">
      <c r="I248" s="73"/>
      <c r="J248" s="73"/>
      <c r="K248" s="91"/>
      <c r="L248" s="85"/>
      <c r="M248" s="73"/>
      <c r="N248" s="73"/>
      <c r="O248" s="73"/>
      <c r="P248" s="73"/>
      <c r="Q248" s="73"/>
      <c r="R248" s="73"/>
    </row>
    <row r="249" spans="9:18" x14ac:dyDescent="0.2">
      <c r="I249" s="73"/>
      <c r="J249" s="73"/>
      <c r="K249" s="91"/>
      <c r="L249" s="85"/>
      <c r="M249" s="73"/>
      <c r="N249" s="73"/>
      <c r="O249" s="73"/>
      <c r="P249" s="73"/>
      <c r="Q249" s="73"/>
      <c r="R249" s="73"/>
    </row>
    <row r="250" spans="9:18" x14ac:dyDescent="0.2">
      <c r="I250" s="73"/>
      <c r="J250" s="73"/>
      <c r="K250" s="91"/>
      <c r="L250" s="85"/>
      <c r="M250" s="73"/>
      <c r="N250" s="73"/>
      <c r="O250" s="73"/>
      <c r="P250" s="73"/>
      <c r="Q250" s="73"/>
      <c r="R250" s="73"/>
    </row>
    <row r="251" spans="9:18" x14ac:dyDescent="0.2">
      <c r="I251" s="73"/>
      <c r="J251" s="73"/>
      <c r="K251" s="91"/>
      <c r="L251" s="85"/>
      <c r="M251" s="73"/>
      <c r="N251" s="73"/>
      <c r="O251" s="73"/>
      <c r="P251" s="73"/>
      <c r="Q251" s="73"/>
      <c r="R251" s="73"/>
    </row>
    <row r="252" spans="9:18" x14ac:dyDescent="0.2">
      <c r="I252" s="73"/>
      <c r="J252" s="73"/>
      <c r="K252" s="91"/>
      <c r="L252" s="85"/>
      <c r="M252" s="73"/>
      <c r="N252" s="73"/>
      <c r="O252" s="73"/>
      <c r="P252" s="73"/>
      <c r="Q252" s="73"/>
      <c r="R252" s="73"/>
    </row>
    <row r="253" spans="9:18" x14ac:dyDescent="0.2">
      <c r="I253" s="73"/>
      <c r="J253" s="73"/>
      <c r="K253" s="91"/>
      <c r="L253" s="85"/>
      <c r="M253" s="73"/>
      <c r="N253" s="73"/>
      <c r="O253" s="73"/>
      <c r="P253" s="73"/>
      <c r="Q253" s="73"/>
      <c r="R253" s="73"/>
    </row>
    <row r="254" spans="9:18" x14ac:dyDescent="0.2">
      <c r="I254" s="73"/>
      <c r="J254" s="73"/>
      <c r="K254" s="91"/>
      <c r="L254" s="85"/>
      <c r="M254" s="73"/>
      <c r="N254" s="73"/>
      <c r="O254" s="73"/>
      <c r="P254" s="73"/>
      <c r="Q254" s="73"/>
      <c r="R254" s="73"/>
    </row>
    <row r="255" spans="9:18" x14ac:dyDescent="0.2">
      <c r="I255" s="83"/>
      <c r="J255" s="73"/>
      <c r="K255" s="91"/>
      <c r="L255" s="85"/>
      <c r="M255" s="73"/>
      <c r="N255" s="73"/>
      <c r="O255" s="73"/>
      <c r="P255" s="73"/>
      <c r="Q255" s="73"/>
      <c r="R255" s="73"/>
    </row>
    <row r="256" spans="9:18" x14ac:dyDescent="0.2">
      <c r="I256" s="73"/>
      <c r="J256" s="73"/>
      <c r="K256" s="91"/>
      <c r="L256" s="85"/>
      <c r="M256" s="73"/>
      <c r="N256" s="73"/>
      <c r="O256" s="73"/>
      <c r="P256" s="73"/>
      <c r="Q256" s="73"/>
      <c r="R256" s="73"/>
    </row>
    <row r="257" spans="9:18" x14ac:dyDescent="0.2">
      <c r="I257" s="73"/>
      <c r="J257" s="73"/>
      <c r="K257" s="91"/>
      <c r="L257" s="85"/>
      <c r="M257" s="73"/>
      <c r="N257" s="73"/>
      <c r="O257" s="73"/>
      <c r="P257" s="73"/>
      <c r="Q257" s="73"/>
      <c r="R257" s="73"/>
    </row>
    <row r="258" spans="9:18" x14ac:dyDescent="0.2">
      <c r="I258" s="73"/>
      <c r="J258" s="73"/>
      <c r="K258" s="91"/>
      <c r="L258" s="85"/>
      <c r="M258" s="73"/>
      <c r="N258" s="73"/>
      <c r="O258" s="73"/>
      <c r="P258" s="73"/>
      <c r="Q258" s="73"/>
      <c r="R258" s="73"/>
    </row>
    <row r="259" spans="9:18" x14ac:dyDescent="0.2">
      <c r="I259" s="73"/>
      <c r="J259" s="73"/>
      <c r="K259" s="91"/>
      <c r="L259" s="85"/>
      <c r="M259" s="73"/>
      <c r="N259" s="73"/>
      <c r="O259" s="73"/>
      <c r="P259" s="73"/>
      <c r="Q259" s="73"/>
      <c r="R259" s="73"/>
    </row>
    <row r="260" spans="9:18" x14ac:dyDescent="0.2">
      <c r="I260" s="73"/>
      <c r="J260" s="73"/>
      <c r="K260" s="91"/>
      <c r="L260" s="85"/>
      <c r="M260" s="73"/>
      <c r="N260" s="73"/>
      <c r="O260" s="73"/>
      <c r="P260" s="73"/>
      <c r="Q260" s="73"/>
      <c r="R260" s="73"/>
    </row>
    <row r="261" spans="9:18" x14ac:dyDescent="0.2">
      <c r="I261" s="73"/>
      <c r="J261" s="73"/>
      <c r="K261" s="91"/>
      <c r="L261" s="85"/>
      <c r="M261" s="73"/>
      <c r="N261" s="73"/>
      <c r="O261" s="73"/>
      <c r="P261" s="73"/>
      <c r="Q261" s="73"/>
      <c r="R261" s="73"/>
    </row>
    <row r="262" spans="9:18" x14ac:dyDescent="0.2">
      <c r="I262" s="73"/>
      <c r="J262" s="73"/>
      <c r="K262" s="91"/>
      <c r="L262" s="85"/>
      <c r="M262" s="73"/>
      <c r="N262" s="73"/>
      <c r="O262" s="73"/>
      <c r="P262" s="73"/>
      <c r="Q262" s="73"/>
      <c r="R262" s="73"/>
    </row>
    <row r="263" spans="9:18" x14ac:dyDescent="0.2">
      <c r="I263" s="73"/>
      <c r="J263" s="73"/>
      <c r="K263" s="91"/>
      <c r="L263" s="85"/>
      <c r="M263" s="73"/>
      <c r="N263" s="73"/>
      <c r="O263" s="73"/>
      <c r="P263" s="73"/>
      <c r="Q263" s="73"/>
      <c r="R263" s="73"/>
    </row>
    <row r="264" spans="9:18" x14ac:dyDescent="0.2">
      <c r="I264" s="73"/>
      <c r="J264" s="73"/>
      <c r="K264" s="91"/>
      <c r="L264" s="85"/>
      <c r="M264" s="73"/>
      <c r="N264" s="73"/>
      <c r="O264" s="73"/>
      <c r="P264" s="73"/>
      <c r="Q264" s="73"/>
      <c r="R264" s="73"/>
    </row>
    <row r="265" spans="9:18" x14ac:dyDescent="0.2">
      <c r="I265" s="73"/>
      <c r="J265" s="73"/>
      <c r="K265" s="91"/>
      <c r="L265" s="85"/>
      <c r="M265" s="73"/>
      <c r="N265" s="73"/>
      <c r="O265" s="73"/>
      <c r="P265" s="73"/>
      <c r="Q265" s="73"/>
      <c r="R265" s="73"/>
    </row>
    <row r="266" spans="9:18" x14ac:dyDescent="0.2">
      <c r="I266" s="73"/>
      <c r="J266" s="73"/>
      <c r="K266" s="91"/>
      <c r="L266" s="85"/>
      <c r="M266" s="73"/>
      <c r="N266" s="73"/>
      <c r="O266" s="73"/>
      <c r="P266" s="73"/>
      <c r="Q266" s="73"/>
      <c r="R266" s="73"/>
    </row>
    <row r="267" spans="9:18" x14ac:dyDescent="0.2">
      <c r="I267" s="73"/>
      <c r="J267" s="73"/>
      <c r="K267" s="91"/>
      <c r="L267" s="85"/>
      <c r="M267" s="73"/>
      <c r="N267" s="73"/>
      <c r="O267" s="73"/>
      <c r="P267" s="73"/>
      <c r="Q267" s="73"/>
      <c r="R267" s="73"/>
    </row>
    <row r="268" spans="9:18" x14ac:dyDescent="0.2">
      <c r="I268" s="73"/>
      <c r="J268" s="73"/>
      <c r="K268" s="91"/>
      <c r="L268" s="85"/>
      <c r="M268" s="73"/>
      <c r="N268" s="73"/>
      <c r="O268" s="73"/>
      <c r="P268" s="73"/>
      <c r="Q268" s="73"/>
      <c r="R268" s="73"/>
    </row>
    <row r="269" spans="9:18" x14ac:dyDescent="0.2">
      <c r="I269" s="73"/>
      <c r="J269" s="73"/>
      <c r="K269" s="91"/>
      <c r="L269" s="85"/>
      <c r="M269" s="73"/>
      <c r="N269" s="73"/>
      <c r="O269" s="73"/>
      <c r="P269" s="73"/>
      <c r="Q269" s="73"/>
      <c r="R269" s="73"/>
    </row>
    <row r="270" spans="9:18" x14ac:dyDescent="0.2">
      <c r="I270" s="73"/>
      <c r="J270" s="73"/>
      <c r="K270" s="91"/>
      <c r="L270" s="85"/>
      <c r="M270" s="73"/>
      <c r="N270" s="73"/>
      <c r="O270" s="73"/>
      <c r="P270" s="73"/>
      <c r="Q270" s="73"/>
      <c r="R270" s="73"/>
    </row>
    <row r="271" spans="9:18" x14ac:dyDescent="0.2">
      <c r="I271" s="73"/>
      <c r="J271" s="73"/>
      <c r="K271" s="91"/>
      <c r="L271" s="85"/>
      <c r="M271" s="73"/>
      <c r="N271" s="73"/>
      <c r="O271" s="73"/>
      <c r="P271" s="73"/>
      <c r="Q271" s="73"/>
      <c r="R271" s="73"/>
    </row>
    <row r="272" spans="9:18" x14ac:dyDescent="0.2">
      <c r="I272" s="73"/>
      <c r="J272" s="73"/>
      <c r="K272" s="91"/>
      <c r="L272" s="85"/>
      <c r="M272" s="73"/>
      <c r="N272" s="73"/>
      <c r="O272" s="73"/>
      <c r="P272" s="73"/>
      <c r="Q272" s="73"/>
      <c r="R272" s="73"/>
    </row>
    <row r="273" spans="1:18" x14ac:dyDescent="0.2">
      <c r="I273" s="73"/>
      <c r="J273" s="73"/>
      <c r="K273" s="91"/>
      <c r="L273" s="85"/>
      <c r="M273" s="73"/>
      <c r="N273" s="73"/>
      <c r="O273" s="73"/>
      <c r="P273" s="73"/>
      <c r="Q273" s="73"/>
      <c r="R273" s="73"/>
    </row>
    <row r="274" spans="1:18" x14ac:dyDescent="0.2">
      <c r="I274" s="73"/>
      <c r="J274" s="73"/>
      <c r="K274" s="91"/>
      <c r="L274" s="85"/>
      <c r="M274" s="73"/>
      <c r="N274" s="73"/>
      <c r="O274" s="73"/>
      <c r="P274" s="73"/>
      <c r="Q274" s="73"/>
      <c r="R274" s="73"/>
    </row>
    <row r="275" spans="1:18" x14ac:dyDescent="0.2">
      <c r="I275" s="73"/>
      <c r="J275" s="73"/>
      <c r="K275" s="91"/>
      <c r="L275" s="85"/>
      <c r="M275" s="73"/>
      <c r="N275" s="73"/>
      <c r="O275" s="73"/>
      <c r="P275" s="73"/>
      <c r="Q275" s="73"/>
      <c r="R275" s="73"/>
    </row>
    <row r="276" spans="1:18" x14ac:dyDescent="0.2">
      <c r="I276" s="73"/>
      <c r="J276" s="73"/>
      <c r="K276" s="91"/>
      <c r="L276" s="85"/>
      <c r="M276" s="73"/>
      <c r="N276" s="73"/>
      <c r="O276" s="73"/>
      <c r="P276" s="73"/>
      <c r="Q276" s="73"/>
      <c r="R276" s="73"/>
    </row>
    <row r="277" spans="1:18" x14ac:dyDescent="0.2">
      <c r="A277" s="3" t="s">
        <v>240</v>
      </c>
      <c r="I277" s="73"/>
      <c r="J277" s="73"/>
      <c r="K277" s="91"/>
      <c r="L277" s="85"/>
      <c r="M277" s="73"/>
      <c r="N277" s="73"/>
      <c r="O277" s="73"/>
      <c r="P277" s="73"/>
      <c r="Q277" s="73"/>
      <c r="R277" s="73"/>
    </row>
    <row r="278" spans="1:18" ht="13.5" thickBot="1" x14ac:dyDescent="0.25">
      <c r="D278" s="5" t="s">
        <v>0</v>
      </c>
      <c r="I278" s="73"/>
      <c r="J278" s="73"/>
      <c r="K278" s="91"/>
      <c r="L278" s="85"/>
      <c r="M278" s="73"/>
      <c r="N278" s="73"/>
      <c r="O278" s="73"/>
      <c r="P278" s="73"/>
      <c r="Q278" s="73"/>
      <c r="R278" s="73"/>
    </row>
    <row r="279" spans="1:18" x14ac:dyDescent="0.2">
      <c r="C279" s="2" t="s">
        <v>224</v>
      </c>
      <c r="D279" s="68">
        <v>5500</v>
      </c>
      <c r="E279" t="s">
        <v>40</v>
      </c>
      <c r="H279" s="131" t="s">
        <v>350</v>
      </c>
      <c r="J279" s="25" t="s">
        <v>257</v>
      </c>
      <c r="L279" s="85"/>
      <c r="M279" s="73"/>
      <c r="N279" s="73"/>
      <c r="O279" s="73"/>
      <c r="P279" s="73"/>
      <c r="Q279" s="73"/>
      <c r="R279" s="73"/>
    </row>
    <row r="280" spans="1:18" x14ac:dyDescent="0.2">
      <c r="C280" s="2" t="s">
        <v>232</v>
      </c>
      <c r="D280" s="69">
        <v>0.75</v>
      </c>
      <c r="E280" t="s">
        <v>4</v>
      </c>
      <c r="F280" s="131"/>
      <c r="G280" s="25" t="s">
        <v>106</v>
      </c>
      <c r="H280" s="131" t="s">
        <v>109</v>
      </c>
      <c r="I280" s="25" t="s">
        <v>107</v>
      </c>
      <c r="J280" s="25" t="s">
        <v>347</v>
      </c>
      <c r="L280" s="85"/>
      <c r="M280" s="73"/>
      <c r="N280" s="73"/>
      <c r="O280" s="73"/>
      <c r="P280" s="73"/>
      <c r="Q280" s="73"/>
      <c r="R280" s="73"/>
    </row>
    <row r="281" spans="1:18" ht="13.5" thickBot="1" x14ac:dyDescent="0.25">
      <c r="C281" s="2" t="s">
        <v>235</v>
      </c>
      <c r="D281" s="70">
        <v>10</v>
      </c>
      <c r="E281" t="s">
        <v>233</v>
      </c>
      <c r="F281" s="131"/>
      <c r="G281" s="21" t="s">
        <v>110</v>
      </c>
      <c r="H281" s="21" t="s">
        <v>349</v>
      </c>
      <c r="I281" s="21" t="s">
        <v>108</v>
      </c>
      <c r="J281" s="129" t="s">
        <v>348</v>
      </c>
      <c r="L281" s="85"/>
      <c r="M281" s="73"/>
      <c r="N281" s="73"/>
      <c r="O281" s="73"/>
      <c r="P281" s="73"/>
      <c r="Q281" s="73"/>
      <c r="R281" s="73"/>
    </row>
    <row r="282" spans="1:18" x14ac:dyDescent="0.2">
      <c r="C282" s="2" t="s">
        <v>175</v>
      </c>
      <c r="D282" s="141">
        <v>0.30880000000000002</v>
      </c>
      <c r="E282" t="s">
        <v>112</v>
      </c>
      <c r="F282" s="139"/>
      <c r="G282" s="49">
        <v>0.25</v>
      </c>
      <c r="H282" s="39">
        <v>0.189</v>
      </c>
      <c r="I282" s="39">
        <v>20</v>
      </c>
      <c r="J282" s="132">
        <f>3.142*H282^2/4</f>
        <v>2.8058845500000002E-2</v>
      </c>
      <c r="L282" s="85"/>
      <c r="M282" s="73"/>
      <c r="N282" s="73"/>
      <c r="O282" s="73"/>
      <c r="P282" s="73"/>
      <c r="Q282" s="73"/>
      <c r="R282" s="73"/>
    </row>
    <row r="283" spans="1:18" x14ac:dyDescent="0.2">
      <c r="C283" s="2" t="s">
        <v>178</v>
      </c>
      <c r="D283" s="78">
        <v>40</v>
      </c>
      <c r="E283" s="11" t="s">
        <v>11</v>
      </c>
      <c r="F283" s="139"/>
      <c r="G283" s="49">
        <v>0.375</v>
      </c>
      <c r="H283" s="39">
        <v>0.29799999999999999</v>
      </c>
      <c r="I283" s="39">
        <v>16</v>
      </c>
      <c r="J283" s="132">
        <f>3.142*H283^2/4</f>
        <v>6.975554199999999E-2</v>
      </c>
      <c r="L283" s="85"/>
      <c r="M283" s="73"/>
      <c r="N283" s="73"/>
      <c r="O283" s="73"/>
      <c r="P283" s="73"/>
      <c r="Q283" s="73"/>
      <c r="R283" s="73"/>
    </row>
    <row r="284" spans="1:18" x14ac:dyDescent="0.2">
      <c r="C284" s="10" t="s">
        <v>169</v>
      </c>
      <c r="D284" s="70">
        <v>29000000</v>
      </c>
      <c r="E284" t="s">
        <v>100</v>
      </c>
      <c r="F284" s="139"/>
      <c r="G284" s="49">
        <v>0.5</v>
      </c>
      <c r="H284" s="39">
        <v>0.40600000000000003</v>
      </c>
      <c r="I284" s="39">
        <v>13</v>
      </c>
      <c r="J284" s="132">
        <f>3.142*H284^2/4</f>
        <v>0.12947867800000001</v>
      </c>
      <c r="L284" s="85"/>
      <c r="M284" s="73"/>
      <c r="N284" s="73"/>
      <c r="O284" s="73"/>
      <c r="P284" s="73"/>
      <c r="Q284" s="73"/>
      <c r="R284" s="73"/>
    </row>
    <row r="285" spans="1:18" x14ac:dyDescent="0.2">
      <c r="C285" s="2" t="s">
        <v>203</v>
      </c>
      <c r="D285" s="69">
        <v>0.625</v>
      </c>
      <c r="E285" t="s">
        <v>4</v>
      </c>
      <c r="F285" s="139"/>
      <c r="G285" s="49">
        <v>0.625</v>
      </c>
      <c r="H285" s="39">
        <v>0.51400000000000001</v>
      </c>
      <c r="I285" s="39">
        <v>11</v>
      </c>
      <c r="J285" s="132">
        <f>3.142*H285^2/4</f>
        <v>0.20752595799999998</v>
      </c>
      <c r="L285" s="85"/>
      <c r="M285" s="73"/>
      <c r="N285" s="73"/>
      <c r="O285" s="73"/>
      <c r="P285" s="73"/>
      <c r="Q285" s="73"/>
      <c r="R285" s="73"/>
    </row>
    <row r="286" spans="1:18" x14ac:dyDescent="0.2">
      <c r="C286" s="2" t="s">
        <v>204</v>
      </c>
      <c r="D286" s="69">
        <v>0.75</v>
      </c>
      <c r="E286" t="s">
        <v>4</v>
      </c>
      <c r="F286" s="139"/>
      <c r="G286" s="49">
        <v>0.75</v>
      </c>
      <c r="H286" s="39">
        <v>0.627</v>
      </c>
      <c r="I286" s="39">
        <v>10</v>
      </c>
      <c r="J286" s="132">
        <f>3.142*H286^2/4</f>
        <v>0.30880282949999999</v>
      </c>
      <c r="L286" s="85"/>
      <c r="M286" s="73"/>
      <c r="N286" s="73"/>
      <c r="O286" s="73"/>
      <c r="P286" s="73"/>
      <c r="Q286" s="73"/>
      <c r="R286" s="73"/>
    </row>
    <row r="287" spans="1:18" x14ac:dyDescent="0.2">
      <c r="C287" s="10" t="s">
        <v>210</v>
      </c>
      <c r="D287" s="70">
        <v>29000000</v>
      </c>
      <c r="E287" t="s">
        <v>100</v>
      </c>
      <c r="F287" s="139"/>
      <c r="G287" s="49">
        <v>0.875</v>
      </c>
      <c r="H287" s="39">
        <v>0.73899999999999999</v>
      </c>
      <c r="I287" s="39">
        <v>9</v>
      </c>
      <c r="J287" s="132">
        <f>3.142*H287^2/4</f>
        <v>0.42897804549999996</v>
      </c>
      <c r="L287" s="85"/>
      <c r="M287" s="73"/>
      <c r="N287" s="73"/>
      <c r="O287" s="73"/>
      <c r="P287" s="73"/>
      <c r="Q287" s="73"/>
      <c r="R287" s="73"/>
    </row>
    <row r="288" spans="1:18" ht="13.5" thickBot="1" x14ac:dyDescent="0.25">
      <c r="C288" s="10" t="s">
        <v>211</v>
      </c>
      <c r="D288" s="71">
        <v>10500000</v>
      </c>
      <c r="E288" t="s">
        <v>100</v>
      </c>
      <c r="F288" s="140"/>
      <c r="G288" s="50">
        <v>1</v>
      </c>
      <c r="H288" s="42">
        <v>0.84699999999999998</v>
      </c>
      <c r="I288" s="42">
        <v>8</v>
      </c>
      <c r="J288" s="133">
        <f>3.142*H288^2/4</f>
        <v>0.56352476949999997</v>
      </c>
      <c r="L288" s="85"/>
      <c r="M288" s="73"/>
      <c r="N288" s="73"/>
      <c r="O288" s="73"/>
      <c r="P288" s="73"/>
      <c r="Q288" s="73"/>
      <c r="R288" s="73"/>
    </row>
    <row r="289" spans="3:18" x14ac:dyDescent="0.2">
      <c r="D289" s="5" t="s">
        <v>101</v>
      </c>
      <c r="I289" s="73"/>
      <c r="J289" s="73"/>
      <c r="K289" s="91"/>
      <c r="L289" s="85"/>
      <c r="M289" s="73"/>
      <c r="N289" s="73"/>
      <c r="O289" s="73"/>
      <c r="P289" s="73"/>
      <c r="Q289" s="73"/>
      <c r="R289" s="73"/>
    </row>
    <row r="290" spans="3:18" x14ac:dyDescent="0.2">
      <c r="C290" s="9" t="s">
        <v>171</v>
      </c>
      <c r="D290" s="4" t="s">
        <v>172</v>
      </c>
      <c r="E290" s="1"/>
      <c r="G290" s="4" t="s">
        <v>74</v>
      </c>
      <c r="H290" s="25"/>
      <c r="I290" s="73"/>
      <c r="J290" s="73"/>
      <c r="K290" s="91"/>
      <c r="L290" s="85"/>
      <c r="M290" s="73"/>
      <c r="N290" s="73"/>
      <c r="O290" s="73"/>
      <c r="P290" s="73"/>
      <c r="Q290" s="73"/>
      <c r="R290" s="73"/>
    </row>
    <row r="291" spans="3:18" ht="13.5" thickBot="1" x14ac:dyDescent="0.25">
      <c r="C291" s="1"/>
      <c r="D291" s="23">
        <f>3.1416 * (1.5 * D280)^2 / 4</f>
        <v>0.99402187499999994</v>
      </c>
      <c r="E291" s="1" t="s">
        <v>112</v>
      </c>
      <c r="G291" s="43" t="s">
        <v>120</v>
      </c>
      <c r="H291" s="27"/>
      <c r="I291" s="73"/>
      <c r="J291" s="73"/>
      <c r="K291" s="91"/>
      <c r="L291" s="85"/>
      <c r="M291" s="73"/>
      <c r="N291" s="73"/>
      <c r="O291" s="73"/>
      <c r="P291" s="73"/>
      <c r="Q291" s="73"/>
      <c r="R291" s="73"/>
    </row>
    <row r="292" spans="3:18" x14ac:dyDescent="0.2">
      <c r="C292" s="9" t="s">
        <v>173</v>
      </c>
      <c r="D292" s="4" t="s">
        <v>212</v>
      </c>
      <c r="E292" s="1"/>
      <c r="G292" t="s">
        <v>79</v>
      </c>
      <c r="H292" s="24">
        <v>14</v>
      </c>
      <c r="I292" s="73"/>
      <c r="J292" s="73"/>
      <c r="K292" s="91"/>
      <c r="L292" s="85"/>
      <c r="M292" s="73"/>
      <c r="N292" s="73"/>
      <c r="O292" s="73"/>
      <c r="P292" s="73"/>
      <c r="Q292" s="73"/>
      <c r="R292" s="73"/>
    </row>
    <row r="293" spans="3:18" x14ac:dyDescent="0.2">
      <c r="C293" s="9"/>
      <c r="D293" s="28">
        <f>D287 * D291 / D285</f>
        <v>46122615</v>
      </c>
      <c r="E293" s="1" t="s">
        <v>177</v>
      </c>
      <c r="G293" t="s">
        <v>121</v>
      </c>
      <c r="H293" s="24">
        <v>40</v>
      </c>
      <c r="I293" s="73"/>
      <c r="J293" s="73"/>
      <c r="K293" s="91"/>
      <c r="L293" s="85"/>
      <c r="M293" s="73"/>
      <c r="N293" s="73"/>
      <c r="O293" s="73"/>
      <c r="P293" s="73"/>
      <c r="Q293" s="73"/>
      <c r="R293" s="73"/>
    </row>
    <row r="294" spans="3:18" ht="13.5" thickBot="1" x14ac:dyDescent="0.25">
      <c r="C294" s="9" t="s">
        <v>174</v>
      </c>
      <c r="D294" s="4" t="s">
        <v>213</v>
      </c>
      <c r="E294" s="1"/>
      <c r="G294" s="30" t="s">
        <v>122</v>
      </c>
      <c r="H294" s="27">
        <v>50</v>
      </c>
      <c r="I294" s="73"/>
      <c r="J294" s="73"/>
      <c r="K294" s="91"/>
      <c r="L294" s="85"/>
      <c r="M294" s="73"/>
      <c r="N294" s="73"/>
      <c r="O294" s="73"/>
      <c r="P294" s="73"/>
      <c r="Q294" s="73"/>
      <c r="R294" s="73"/>
    </row>
    <row r="295" spans="3:18" x14ac:dyDescent="0.2">
      <c r="C295" s="9"/>
      <c r="D295" s="28">
        <f>D288 * D291 / D286</f>
        <v>13916306.25</v>
      </c>
      <c r="E295" s="1" t="s">
        <v>177</v>
      </c>
      <c r="I295" s="73"/>
      <c r="J295" s="73"/>
      <c r="K295" s="91"/>
      <c r="L295" s="85"/>
      <c r="M295" s="73"/>
      <c r="N295" s="73"/>
      <c r="O295" s="73"/>
      <c r="P295" s="73"/>
      <c r="Q295" s="73"/>
      <c r="R295" s="73"/>
    </row>
    <row r="296" spans="3:18" ht="15" thickBot="1" x14ac:dyDescent="0.25">
      <c r="C296" s="9" t="s">
        <v>227</v>
      </c>
      <c r="D296" s="4" t="s">
        <v>225</v>
      </c>
      <c r="E296" s="1"/>
      <c r="G296" s="60" t="s">
        <v>222</v>
      </c>
      <c r="H296" s="60" t="s">
        <v>223</v>
      </c>
      <c r="I296" s="73"/>
      <c r="J296" s="73"/>
      <c r="K296" s="91"/>
      <c r="L296" s="85"/>
      <c r="M296" s="73"/>
      <c r="N296" s="73"/>
      <c r="O296" s="73"/>
      <c r="P296" s="73"/>
      <c r="Q296" s="73"/>
      <c r="R296" s="73"/>
    </row>
    <row r="297" spans="3:18" x14ac:dyDescent="0.2">
      <c r="C297" s="7" t="s">
        <v>6</v>
      </c>
      <c r="D297" s="4">
        <f xml:space="preserve"> 1 / D293 + 1 / D295</f>
        <v>9.3539486308088002E-8</v>
      </c>
      <c r="E297" s="1"/>
      <c r="G297" t="s">
        <v>215</v>
      </c>
      <c r="H297" s="59">
        <v>15</v>
      </c>
      <c r="I297" s="73"/>
      <c r="J297" s="73"/>
      <c r="K297" s="91"/>
      <c r="L297" s="85"/>
      <c r="M297" s="73"/>
      <c r="N297" s="73"/>
      <c r="O297" s="73"/>
      <c r="P297" s="73"/>
      <c r="Q297" s="73"/>
      <c r="R297" s="73"/>
    </row>
    <row r="298" spans="3:18" x14ac:dyDescent="0.2">
      <c r="C298" s="9" t="s">
        <v>228</v>
      </c>
      <c r="D298" s="28">
        <f>1/D297</f>
        <v>10690672.350993378</v>
      </c>
      <c r="E298" s="1" t="s">
        <v>177</v>
      </c>
      <c r="G298" t="s">
        <v>216</v>
      </c>
      <c r="H298" s="59">
        <v>17</v>
      </c>
      <c r="I298" s="73"/>
      <c r="J298" s="73"/>
      <c r="K298" s="91"/>
      <c r="L298" s="85"/>
      <c r="M298" s="73"/>
      <c r="N298" s="73"/>
      <c r="O298" s="73"/>
      <c r="P298" s="73"/>
      <c r="Q298" s="73"/>
      <c r="R298" s="73"/>
    </row>
    <row r="299" spans="3:18" x14ac:dyDescent="0.2">
      <c r="C299" s="9" t="s">
        <v>229</v>
      </c>
      <c r="D299" s="4" t="s">
        <v>205</v>
      </c>
      <c r="G299" t="s">
        <v>217</v>
      </c>
      <c r="H299" s="59">
        <v>14</v>
      </c>
      <c r="I299" s="73"/>
      <c r="J299" s="73"/>
      <c r="K299" s="91"/>
      <c r="L299" s="85"/>
      <c r="M299" s="73"/>
      <c r="N299" s="73"/>
      <c r="O299" s="73"/>
      <c r="P299" s="73"/>
      <c r="Q299" s="73"/>
      <c r="R299" s="73"/>
    </row>
    <row r="300" spans="3:18" x14ac:dyDescent="0.2">
      <c r="C300" s="7" t="s">
        <v>6</v>
      </c>
      <c r="D300" s="58">
        <f>D279 / D298</f>
        <v>5.1446717469448393E-4</v>
      </c>
      <c r="E300" s="1" t="s">
        <v>4</v>
      </c>
      <c r="G300" t="s">
        <v>218</v>
      </c>
      <c r="H300" s="62">
        <v>10.5</v>
      </c>
      <c r="I300" s="73"/>
      <c r="J300" s="73"/>
      <c r="K300" s="91"/>
      <c r="L300" s="85"/>
      <c r="M300" s="73"/>
      <c r="N300" s="73"/>
      <c r="O300" s="73"/>
      <c r="P300" s="73"/>
      <c r="Q300" s="73"/>
      <c r="R300" s="73"/>
    </row>
    <row r="301" spans="3:18" x14ac:dyDescent="0.2">
      <c r="C301" s="9" t="s">
        <v>170</v>
      </c>
      <c r="D301" s="23" t="s">
        <v>226</v>
      </c>
      <c r="E301" s="1"/>
      <c r="G301" t="s">
        <v>219</v>
      </c>
      <c r="H301" s="59">
        <v>26</v>
      </c>
      <c r="I301" s="73"/>
      <c r="J301" s="73"/>
      <c r="K301" s="91"/>
      <c r="L301" s="85"/>
      <c r="M301" s="73"/>
      <c r="N301" s="73"/>
      <c r="O301" s="73"/>
      <c r="P301" s="73"/>
      <c r="Q301" s="73"/>
      <c r="R301" s="73"/>
    </row>
    <row r="302" spans="3:18" x14ac:dyDescent="0.2">
      <c r="C302" s="7" t="s">
        <v>6</v>
      </c>
      <c r="D302" s="23">
        <f>D285 + D286</f>
        <v>1.375</v>
      </c>
      <c r="E302" s="1" t="s">
        <v>177</v>
      </c>
      <c r="G302" t="s">
        <v>220</v>
      </c>
      <c r="H302" s="59">
        <v>30</v>
      </c>
      <c r="I302" s="73"/>
      <c r="J302" s="73"/>
      <c r="K302" s="91"/>
      <c r="L302" s="85"/>
      <c r="M302" s="73"/>
      <c r="N302" s="73"/>
      <c r="O302" s="73"/>
      <c r="P302" s="73"/>
      <c r="Q302" s="73"/>
      <c r="R302" s="73"/>
    </row>
    <row r="303" spans="3:18" ht="13.5" thickBot="1" x14ac:dyDescent="0.25">
      <c r="C303" s="9" t="s">
        <v>230</v>
      </c>
      <c r="D303" s="1" t="s">
        <v>208</v>
      </c>
      <c r="E303" s="1"/>
      <c r="G303" s="30" t="s">
        <v>221</v>
      </c>
      <c r="H303" s="61">
        <v>29</v>
      </c>
      <c r="I303" s="73"/>
      <c r="J303" s="73"/>
      <c r="K303" s="91"/>
      <c r="L303" s="85"/>
      <c r="M303" s="73"/>
      <c r="N303" s="73"/>
      <c r="O303" s="73"/>
      <c r="P303" s="73"/>
      <c r="Q303" s="73"/>
      <c r="R303" s="73"/>
    </row>
    <row r="304" spans="3:18" x14ac:dyDescent="0.2">
      <c r="C304" s="7" t="s">
        <v>6</v>
      </c>
      <c r="D304" s="28">
        <f>D284 *D282 / D302</f>
        <v>6512872.7272727275</v>
      </c>
      <c r="E304" s="1" t="s">
        <v>177</v>
      </c>
      <c r="I304" s="73"/>
      <c r="J304" s="73"/>
      <c r="K304" s="91"/>
      <c r="L304" s="85"/>
      <c r="M304" s="73"/>
      <c r="N304" s="73"/>
      <c r="O304" s="73"/>
      <c r="P304" s="73"/>
      <c r="Q304" s="73"/>
      <c r="R304" s="73"/>
    </row>
    <row r="305" spans="3:18" x14ac:dyDescent="0.2">
      <c r="I305" s="73"/>
      <c r="J305" s="73"/>
      <c r="K305" s="91"/>
      <c r="L305" s="85"/>
      <c r="M305" s="73"/>
      <c r="N305" s="73"/>
      <c r="O305" s="73"/>
      <c r="P305" s="73"/>
      <c r="Q305" s="73"/>
      <c r="R305" s="73"/>
    </row>
    <row r="306" spans="3:18" x14ac:dyDescent="0.2">
      <c r="C306" s="9" t="s">
        <v>209</v>
      </c>
      <c r="D306" s="4" t="s">
        <v>206</v>
      </c>
      <c r="I306" s="83"/>
      <c r="J306" s="73"/>
      <c r="K306" s="91"/>
      <c r="L306" s="85"/>
      <c r="M306" s="73"/>
      <c r="N306" s="73"/>
      <c r="O306" s="73"/>
      <c r="P306" s="73"/>
      <c r="Q306" s="73"/>
      <c r="R306" s="73"/>
    </row>
    <row r="307" spans="3:18" x14ac:dyDescent="0.2">
      <c r="D307" s="58">
        <f>D279 / D304</f>
        <v>8.4448141861711624E-4</v>
      </c>
      <c r="E307" s="1" t="s">
        <v>4</v>
      </c>
      <c r="I307" s="73"/>
      <c r="J307" s="73"/>
      <c r="K307" s="91"/>
      <c r="L307" s="85"/>
      <c r="M307" s="73"/>
      <c r="N307" s="73"/>
      <c r="O307" s="73"/>
      <c r="P307" s="73"/>
      <c r="Q307" s="73"/>
      <c r="R307" s="73"/>
    </row>
    <row r="308" spans="3:18" x14ac:dyDescent="0.2">
      <c r="C308" s="67" t="s">
        <v>241</v>
      </c>
      <c r="D308" s="1" t="s">
        <v>236</v>
      </c>
      <c r="E308" s="1"/>
      <c r="I308" s="73"/>
      <c r="J308" s="73"/>
      <c r="K308" s="91"/>
      <c r="L308" s="85"/>
      <c r="M308" s="73"/>
      <c r="N308" s="73"/>
      <c r="O308" s="73"/>
      <c r="P308" s="73"/>
      <c r="Q308" s="73"/>
      <c r="R308" s="73"/>
    </row>
    <row r="309" spans="3:18" x14ac:dyDescent="0.2">
      <c r="C309" s="7" t="s">
        <v>6</v>
      </c>
      <c r="D309" s="58">
        <f>D307+D300</f>
        <v>1.3589485933116002E-3</v>
      </c>
      <c r="E309" s="1"/>
      <c r="I309" s="73"/>
      <c r="J309" s="73"/>
      <c r="K309" s="91"/>
      <c r="L309" s="85"/>
      <c r="M309" s="73"/>
      <c r="N309" s="73"/>
      <c r="O309" s="73"/>
      <c r="P309" s="73"/>
      <c r="Q309" s="73"/>
      <c r="R309" s="73"/>
    </row>
    <row r="310" spans="3:18" x14ac:dyDescent="0.2">
      <c r="C310" s="63" t="s">
        <v>234</v>
      </c>
      <c r="D310" s="33" t="s">
        <v>239</v>
      </c>
      <c r="E310" s="64"/>
      <c r="I310" s="73"/>
      <c r="J310" s="73"/>
      <c r="K310" s="91"/>
      <c r="L310" s="85"/>
      <c r="M310" s="73"/>
      <c r="N310" s="73"/>
      <c r="O310" s="73"/>
      <c r="P310" s="73"/>
      <c r="Q310" s="73"/>
      <c r="R310" s="73"/>
    </row>
    <row r="311" spans="3:18" x14ac:dyDescent="0.2">
      <c r="C311" s="63"/>
      <c r="D311" s="65">
        <f>D309 * D281</f>
        <v>1.3589485933116001E-2</v>
      </c>
      <c r="E311" s="64"/>
      <c r="I311" s="73"/>
      <c r="J311" s="73"/>
      <c r="K311" s="91"/>
      <c r="L311" s="85"/>
      <c r="M311" s="73"/>
      <c r="N311" s="73"/>
      <c r="O311" s="73"/>
      <c r="P311" s="73"/>
      <c r="Q311" s="73"/>
      <c r="R311" s="73"/>
    </row>
    <row r="312" spans="3:18" x14ac:dyDescent="0.2">
      <c r="C312" s="63" t="s">
        <v>246</v>
      </c>
      <c r="D312" s="33" t="s">
        <v>237</v>
      </c>
      <c r="E312" s="64"/>
      <c r="I312" s="73"/>
      <c r="J312" s="73"/>
      <c r="K312" s="91"/>
      <c r="L312" s="85"/>
      <c r="M312" s="73"/>
      <c r="N312" s="73"/>
      <c r="O312" s="73"/>
      <c r="P312" s="73"/>
      <c r="Q312" s="73"/>
      <c r="R312" s="73"/>
    </row>
    <row r="313" spans="3:18" x14ac:dyDescent="0.2">
      <c r="C313" s="64"/>
      <c r="D313" s="66">
        <f>D311*360</f>
        <v>4.8922149359217606</v>
      </c>
      <c r="E313" s="64" t="s">
        <v>238</v>
      </c>
      <c r="I313" s="73"/>
      <c r="J313" s="73"/>
      <c r="K313" s="91"/>
      <c r="L313" s="85"/>
      <c r="M313" s="73"/>
      <c r="N313" s="73"/>
      <c r="O313" s="73"/>
      <c r="P313" s="73"/>
      <c r="Q313" s="73"/>
      <c r="R313" s="73"/>
    </row>
    <row r="314" spans="3:18" x14ac:dyDescent="0.2">
      <c r="F314" s="33"/>
      <c r="I314" s="73"/>
      <c r="J314" s="73"/>
      <c r="K314" s="91"/>
      <c r="L314" s="85"/>
      <c r="M314" s="73"/>
      <c r="N314" s="73"/>
      <c r="O314" s="73"/>
      <c r="P314" s="73"/>
      <c r="Q314" s="73"/>
      <c r="R314" s="73"/>
    </row>
    <row r="315" spans="3:18" x14ac:dyDescent="0.2">
      <c r="C315" s="9" t="s">
        <v>231</v>
      </c>
      <c r="D315" s="1" t="s">
        <v>214</v>
      </c>
      <c r="I315" s="73"/>
      <c r="J315" s="73"/>
      <c r="K315" s="91"/>
      <c r="L315" s="85"/>
      <c r="M315" s="73"/>
      <c r="N315" s="73"/>
      <c r="O315" s="73"/>
      <c r="P315" s="73"/>
      <c r="Q315" s="73"/>
      <c r="R315" s="73"/>
    </row>
    <row r="316" spans="3:18" x14ac:dyDescent="0.2">
      <c r="C316" s="6" t="s">
        <v>6</v>
      </c>
      <c r="D316" s="28">
        <f>D279 * ((D307 + D300) / D307 )</f>
        <v>8850.6592311447585</v>
      </c>
      <c r="E316" s="1" t="s">
        <v>40</v>
      </c>
      <c r="G316" s="9"/>
      <c r="H316" s="1"/>
      <c r="I316" s="73"/>
      <c r="J316" s="73"/>
      <c r="K316" s="91"/>
      <c r="L316" s="85"/>
      <c r="M316" s="73"/>
      <c r="N316" s="73"/>
      <c r="O316" s="73"/>
      <c r="P316" s="73"/>
      <c r="Q316" s="73"/>
      <c r="R316" s="73"/>
    </row>
    <row r="317" spans="3:18" x14ac:dyDescent="0.2">
      <c r="C317" s="9" t="s">
        <v>176</v>
      </c>
      <c r="D317" s="1" t="s">
        <v>207</v>
      </c>
      <c r="E317" s="1"/>
      <c r="G317" s="6"/>
      <c r="H317" s="28"/>
      <c r="I317" s="73"/>
      <c r="J317" s="73"/>
      <c r="K317" s="91"/>
      <c r="L317" s="85"/>
      <c r="M317" s="73"/>
      <c r="N317" s="73"/>
      <c r="O317" s="73"/>
      <c r="P317" s="73"/>
      <c r="Q317" s="73"/>
      <c r="R317" s="73"/>
    </row>
    <row r="318" spans="3:18" x14ac:dyDescent="0.2">
      <c r="C318" s="7" t="s">
        <v>6</v>
      </c>
      <c r="D318" s="28">
        <f>D316/D282</f>
        <v>28661.46124075375</v>
      </c>
      <c r="E318" s="1" t="s">
        <v>100</v>
      </c>
      <c r="I318" s="73"/>
      <c r="J318" s="73"/>
      <c r="K318" s="91"/>
      <c r="L318" s="85"/>
      <c r="M318" s="73"/>
      <c r="N318" s="73"/>
      <c r="O318" s="73"/>
      <c r="P318" s="73"/>
      <c r="Q318" s="73"/>
      <c r="R318" s="73"/>
    </row>
    <row r="319" spans="3:18" ht="13.5" thickBot="1" x14ac:dyDescent="0.25">
      <c r="C319" s="9" t="s">
        <v>116</v>
      </c>
      <c r="D319" s="1" t="s">
        <v>179</v>
      </c>
      <c r="I319" s="73"/>
      <c r="J319" s="73"/>
      <c r="K319" s="91"/>
      <c r="L319" s="85"/>
      <c r="M319" s="73"/>
      <c r="N319" s="73"/>
      <c r="O319" s="73"/>
      <c r="P319" s="73"/>
      <c r="Q319" s="73"/>
      <c r="R319" s="73"/>
    </row>
    <row r="320" spans="3:18" ht="13.5" thickBot="1" x14ac:dyDescent="0.25">
      <c r="C320" s="7" t="s">
        <v>6</v>
      </c>
      <c r="D320" s="138">
        <f>1000* D283 / D318</f>
        <v>1.3956022571216284</v>
      </c>
      <c r="G320" t="s">
        <v>29</v>
      </c>
      <c r="I320" s="73"/>
      <c r="J320" s="73"/>
      <c r="K320" s="91"/>
      <c r="L320" s="85"/>
      <c r="M320" s="73"/>
      <c r="N320" s="73"/>
      <c r="O320" s="73"/>
      <c r="P320" s="73"/>
      <c r="Q320" s="73"/>
      <c r="R320" s="73"/>
    </row>
    <row r="321" spans="9:18" x14ac:dyDescent="0.2">
      <c r="I321" s="73"/>
      <c r="J321" s="73"/>
      <c r="K321" s="91"/>
      <c r="L321" s="85"/>
      <c r="M321" s="73"/>
      <c r="N321" s="73"/>
      <c r="O321" s="73"/>
      <c r="P321" s="73"/>
      <c r="Q321" s="73"/>
      <c r="R321" s="73"/>
    </row>
    <row r="322" spans="9:18" x14ac:dyDescent="0.2">
      <c r="I322" s="73"/>
      <c r="J322" s="73"/>
      <c r="K322" s="91"/>
      <c r="L322" s="85"/>
      <c r="M322" s="73"/>
      <c r="N322" s="73"/>
      <c r="O322" s="73"/>
      <c r="P322" s="73"/>
      <c r="Q322" s="73"/>
      <c r="R322" s="73"/>
    </row>
    <row r="323" spans="9:18" x14ac:dyDescent="0.2">
      <c r="I323" s="73"/>
      <c r="J323" s="73"/>
      <c r="K323" s="91"/>
      <c r="L323" s="85"/>
      <c r="M323" s="73"/>
      <c r="N323" s="73"/>
      <c r="O323" s="73"/>
      <c r="P323" s="73"/>
      <c r="Q323" s="73"/>
      <c r="R323" s="73"/>
    </row>
    <row r="324" spans="9:18" x14ac:dyDescent="0.2">
      <c r="I324" s="73"/>
      <c r="J324" s="73"/>
      <c r="K324" s="91"/>
      <c r="L324" s="85"/>
      <c r="M324" s="73"/>
      <c r="N324" s="73"/>
      <c r="O324" s="73"/>
      <c r="P324" s="73"/>
      <c r="Q324" s="73"/>
      <c r="R324" s="73"/>
    </row>
    <row r="325" spans="9:18" x14ac:dyDescent="0.2">
      <c r="I325" s="73"/>
      <c r="J325" s="73"/>
      <c r="K325" s="91"/>
      <c r="L325" s="85"/>
      <c r="M325" s="73"/>
      <c r="N325" s="73"/>
      <c r="O325" s="73"/>
      <c r="P325" s="73"/>
      <c r="Q325" s="73"/>
      <c r="R325" s="73"/>
    </row>
    <row r="326" spans="9:18" x14ac:dyDescent="0.2">
      <c r="I326" s="73"/>
      <c r="J326" s="73"/>
      <c r="K326" s="91"/>
      <c r="L326" s="85"/>
      <c r="M326" s="73"/>
      <c r="N326" s="73"/>
      <c r="O326" s="73"/>
      <c r="P326" s="73"/>
      <c r="Q326" s="73"/>
      <c r="R326" s="73"/>
    </row>
    <row r="327" spans="9:18" x14ac:dyDescent="0.2">
      <c r="I327" s="73"/>
      <c r="J327" s="73"/>
      <c r="K327" s="91"/>
      <c r="L327" s="85"/>
      <c r="M327" s="73"/>
      <c r="N327" s="73"/>
      <c r="O327" s="73"/>
      <c r="P327" s="73"/>
      <c r="Q327" s="73"/>
      <c r="R327" s="73"/>
    </row>
    <row r="328" spans="9:18" x14ac:dyDescent="0.2">
      <c r="I328" s="73"/>
      <c r="J328" s="73"/>
      <c r="K328" s="91"/>
      <c r="L328" s="85"/>
      <c r="M328" s="73"/>
      <c r="N328" s="73"/>
      <c r="O328" s="73"/>
      <c r="P328" s="73"/>
      <c r="Q328" s="73"/>
      <c r="R328" s="73"/>
    </row>
    <row r="329" spans="9:18" x14ac:dyDescent="0.2">
      <c r="I329" s="73"/>
      <c r="J329" s="73"/>
      <c r="K329" s="91"/>
      <c r="L329" s="85"/>
      <c r="M329" s="73"/>
      <c r="N329" s="73"/>
      <c r="O329" s="73"/>
      <c r="P329" s="73"/>
      <c r="Q329" s="73"/>
      <c r="R329" s="73"/>
    </row>
    <row r="330" spans="9:18" x14ac:dyDescent="0.2">
      <c r="I330" s="73"/>
      <c r="J330" s="73"/>
      <c r="K330" s="91"/>
      <c r="L330" s="85"/>
      <c r="M330" s="73"/>
      <c r="N330" s="73"/>
      <c r="O330" s="73"/>
      <c r="P330" s="73"/>
      <c r="Q330" s="73"/>
      <c r="R330" s="73"/>
    </row>
    <row r="331" spans="9:18" x14ac:dyDescent="0.2">
      <c r="I331" s="73"/>
      <c r="J331" s="73"/>
      <c r="K331" s="91"/>
      <c r="L331" s="85"/>
      <c r="M331" s="73"/>
      <c r="N331" s="73"/>
      <c r="O331" s="73"/>
      <c r="P331" s="73"/>
      <c r="Q331" s="73"/>
      <c r="R331" s="73"/>
    </row>
    <row r="332" spans="9:18" x14ac:dyDescent="0.2">
      <c r="I332" s="73"/>
      <c r="J332" s="73"/>
      <c r="K332" s="91"/>
      <c r="L332" s="85"/>
      <c r="M332" s="73"/>
      <c r="N332" s="73"/>
      <c r="O332" s="73"/>
      <c r="P332" s="73"/>
      <c r="Q332" s="73"/>
      <c r="R332" s="73"/>
    </row>
    <row r="333" spans="9:18" x14ac:dyDescent="0.2">
      <c r="I333" s="73"/>
      <c r="J333" s="73"/>
      <c r="K333" s="91"/>
      <c r="L333" s="85"/>
      <c r="M333" s="73"/>
      <c r="N333" s="73"/>
      <c r="O333" s="73"/>
      <c r="P333" s="73"/>
      <c r="Q333" s="73"/>
      <c r="R333" s="73"/>
    </row>
    <row r="334" spans="9:18" x14ac:dyDescent="0.2">
      <c r="I334" s="73"/>
      <c r="J334" s="73"/>
      <c r="K334" s="91"/>
      <c r="L334" s="85"/>
      <c r="M334" s="73"/>
      <c r="N334" s="73"/>
      <c r="O334" s="73"/>
      <c r="P334" s="73"/>
      <c r="Q334" s="73"/>
      <c r="R334" s="73"/>
    </row>
    <row r="335" spans="9:18" x14ac:dyDescent="0.2">
      <c r="I335" s="73"/>
      <c r="J335" s="73"/>
      <c r="K335" s="91"/>
      <c r="L335" s="85"/>
      <c r="M335" s="73"/>
      <c r="N335" s="73"/>
      <c r="O335" s="73"/>
      <c r="P335" s="73"/>
      <c r="Q335" s="73"/>
      <c r="R335" s="73"/>
    </row>
    <row r="336" spans="9:18" x14ac:dyDescent="0.2">
      <c r="I336" s="73"/>
      <c r="J336" s="73"/>
      <c r="K336" s="91"/>
      <c r="L336" s="85"/>
      <c r="M336" s="73"/>
      <c r="N336" s="73"/>
      <c r="O336" s="73"/>
      <c r="P336" s="73"/>
      <c r="Q336" s="73"/>
      <c r="R336" s="73"/>
    </row>
    <row r="337" spans="9:18" x14ac:dyDescent="0.2">
      <c r="I337" s="73"/>
      <c r="J337" s="73"/>
      <c r="K337" s="91"/>
      <c r="L337" s="85"/>
      <c r="M337" s="73"/>
      <c r="N337" s="73"/>
      <c r="O337" s="73"/>
      <c r="P337" s="73"/>
      <c r="Q337" s="73"/>
      <c r="R337" s="73"/>
    </row>
    <row r="338" spans="9:18" x14ac:dyDescent="0.2">
      <c r="I338" s="73"/>
      <c r="J338" s="73"/>
      <c r="K338" s="91"/>
      <c r="L338" s="85"/>
      <c r="M338" s="73"/>
      <c r="N338" s="73"/>
      <c r="O338" s="73"/>
      <c r="P338" s="73"/>
      <c r="Q338" s="73"/>
      <c r="R338" s="73"/>
    </row>
    <row r="339" spans="9:18" x14ac:dyDescent="0.2">
      <c r="I339" s="73"/>
      <c r="J339" s="73"/>
      <c r="K339" s="91"/>
      <c r="L339" s="85"/>
      <c r="M339" s="73"/>
      <c r="N339" s="73"/>
      <c r="O339" s="73"/>
      <c r="P339" s="73"/>
      <c r="Q339" s="73"/>
      <c r="R339" s="73"/>
    </row>
    <row r="340" spans="9:18" x14ac:dyDescent="0.2">
      <c r="I340" s="73"/>
      <c r="J340" s="73"/>
      <c r="K340" s="91"/>
      <c r="L340" s="85"/>
      <c r="M340" s="73"/>
      <c r="N340" s="73"/>
      <c r="O340" s="73"/>
      <c r="P340" s="73"/>
      <c r="Q340" s="73"/>
      <c r="R340" s="73"/>
    </row>
    <row r="341" spans="9:18" x14ac:dyDescent="0.2">
      <c r="I341" s="73"/>
      <c r="J341" s="73"/>
      <c r="K341" s="91"/>
      <c r="L341" s="85"/>
      <c r="M341" s="73"/>
      <c r="N341" s="73"/>
      <c r="O341" s="73"/>
      <c r="P341" s="73"/>
      <c r="Q341" s="73"/>
      <c r="R341" s="73"/>
    </row>
    <row r="342" spans="9:18" x14ac:dyDescent="0.2">
      <c r="I342" s="73"/>
      <c r="J342" s="73"/>
      <c r="K342" s="91"/>
      <c r="L342" s="85"/>
      <c r="M342" s="73"/>
      <c r="N342" s="73"/>
      <c r="O342" s="73"/>
      <c r="P342" s="73"/>
      <c r="Q342" s="73"/>
      <c r="R342" s="73"/>
    </row>
    <row r="343" spans="9:18" x14ac:dyDescent="0.2">
      <c r="I343" s="73"/>
      <c r="J343" s="73"/>
      <c r="K343" s="91"/>
      <c r="L343" s="85"/>
      <c r="M343" s="73"/>
      <c r="N343" s="73"/>
      <c r="O343" s="73"/>
      <c r="P343" s="73"/>
      <c r="Q343" s="73"/>
      <c r="R343" s="73"/>
    </row>
    <row r="344" spans="9:18" x14ac:dyDescent="0.2">
      <c r="I344" s="73"/>
      <c r="J344" s="73"/>
      <c r="K344" s="91"/>
      <c r="L344" s="85"/>
      <c r="M344" s="73"/>
      <c r="N344" s="73"/>
      <c r="O344" s="73"/>
      <c r="P344" s="73"/>
      <c r="Q344" s="73"/>
      <c r="R344" s="73"/>
    </row>
    <row r="345" spans="9:18" x14ac:dyDescent="0.2">
      <c r="I345" s="73"/>
      <c r="J345" s="73"/>
      <c r="K345" s="91"/>
      <c r="L345" s="85"/>
      <c r="M345" s="73"/>
      <c r="N345" s="73"/>
      <c r="O345" s="73"/>
      <c r="P345" s="73"/>
      <c r="Q345" s="73"/>
      <c r="R345" s="73"/>
    </row>
    <row r="346" spans="9:18" x14ac:dyDescent="0.2">
      <c r="I346" s="73"/>
      <c r="J346" s="73"/>
      <c r="K346" s="91"/>
      <c r="L346" s="85"/>
      <c r="M346" s="73"/>
      <c r="N346" s="73"/>
      <c r="O346" s="73"/>
      <c r="P346" s="73"/>
      <c r="Q346" s="73"/>
      <c r="R346" s="73"/>
    </row>
    <row r="347" spans="9:18" x14ac:dyDescent="0.2">
      <c r="I347" s="73"/>
      <c r="J347" s="73"/>
      <c r="K347" s="91"/>
      <c r="L347" s="85"/>
      <c r="M347" s="73"/>
      <c r="N347" s="73"/>
      <c r="O347" s="73"/>
      <c r="P347" s="73"/>
      <c r="Q347" s="73"/>
      <c r="R347" s="73"/>
    </row>
    <row r="348" spans="9:18" x14ac:dyDescent="0.2">
      <c r="I348" s="73"/>
      <c r="J348" s="73"/>
      <c r="K348" s="91"/>
      <c r="L348" s="85"/>
      <c r="M348" s="73"/>
      <c r="N348" s="73"/>
      <c r="O348" s="73"/>
      <c r="P348" s="73"/>
      <c r="Q348" s="73"/>
      <c r="R348" s="73"/>
    </row>
    <row r="349" spans="9:18" x14ac:dyDescent="0.2">
      <c r="I349" s="73"/>
      <c r="J349" s="73"/>
      <c r="K349" s="91"/>
      <c r="L349" s="85"/>
      <c r="M349" s="73"/>
      <c r="N349" s="73"/>
      <c r="O349" s="73"/>
      <c r="P349" s="73"/>
      <c r="Q349" s="73"/>
      <c r="R349" s="73"/>
    </row>
    <row r="350" spans="9:18" x14ac:dyDescent="0.2">
      <c r="I350" s="73"/>
      <c r="J350" s="73"/>
      <c r="K350" s="91"/>
      <c r="L350" s="85"/>
      <c r="M350" s="73"/>
      <c r="N350" s="73"/>
      <c r="O350" s="73"/>
      <c r="P350" s="73"/>
      <c r="Q350" s="73"/>
      <c r="R350" s="73"/>
    </row>
    <row r="351" spans="9:18" x14ac:dyDescent="0.2">
      <c r="I351" s="73"/>
      <c r="J351" s="73"/>
      <c r="K351" s="91"/>
      <c r="L351" s="85"/>
      <c r="M351" s="73"/>
      <c r="N351" s="73"/>
      <c r="O351" s="73"/>
      <c r="P351" s="73"/>
      <c r="Q351" s="73"/>
      <c r="R351" s="73"/>
    </row>
    <row r="352" spans="9:18" x14ac:dyDescent="0.2">
      <c r="I352" s="73"/>
      <c r="J352" s="73"/>
      <c r="K352" s="91"/>
      <c r="L352" s="85"/>
      <c r="M352" s="73"/>
      <c r="N352" s="73"/>
      <c r="O352" s="73"/>
      <c r="P352" s="73"/>
      <c r="Q352" s="73"/>
      <c r="R352" s="73"/>
    </row>
    <row r="353" spans="9:18" x14ac:dyDescent="0.2">
      <c r="I353" s="73"/>
      <c r="J353" s="73"/>
      <c r="K353" s="91"/>
      <c r="L353" s="85"/>
      <c r="M353" s="73"/>
      <c r="N353" s="73"/>
      <c r="O353" s="73"/>
      <c r="P353" s="73"/>
      <c r="Q353" s="73"/>
      <c r="R353" s="73"/>
    </row>
    <row r="354" spans="9:18" x14ac:dyDescent="0.2">
      <c r="I354" s="73"/>
      <c r="J354" s="73"/>
      <c r="K354" s="91"/>
      <c r="L354" s="85"/>
      <c r="M354" s="73"/>
      <c r="N354" s="73"/>
      <c r="O354" s="73"/>
      <c r="P354" s="73"/>
      <c r="Q354" s="73"/>
      <c r="R354" s="73"/>
    </row>
    <row r="355" spans="9:18" x14ac:dyDescent="0.2">
      <c r="I355" s="73"/>
      <c r="J355" s="73"/>
      <c r="K355" s="91"/>
      <c r="L355" s="85"/>
      <c r="M355" s="73"/>
      <c r="N355" s="73"/>
      <c r="O355" s="73"/>
      <c r="P355" s="73"/>
      <c r="Q355" s="73"/>
      <c r="R355" s="73"/>
    </row>
    <row r="356" spans="9:18" x14ac:dyDescent="0.2">
      <c r="I356" s="73"/>
      <c r="J356" s="73"/>
      <c r="K356" s="91"/>
      <c r="L356" s="85"/>
      <c r="M356" s="73"/>
      <c r="N356" s="73"/>
      <c r="O356" s="73"/>
      <c r="P356" s="73"/>
      <c r="Q356" s="73"/>
      <c r="R356" s="73"/>
    </row>
    <row r="357" spans="9:18" x14ac:dyDescent="0.2">
      <c r="I357" s="83"/>
      <c r="J357" s="73"/>
      <c r="K357" s="91"/>
      <c r="L357" s="85"/>
      <c r="M357" s="73"/>
      <c r="N357" s="73"/>
      <c r="O357" s="73"/>
      <c r="P357" s="73"/>
      <c r="Q357" s="73"/>
      <c r="R357" s="73"/>
    </row>
    <row r="358" spans="9:18" x14ac:dyDescent="0.2">
      <c r="I358" s="73"/>
      <c r="J358" s="73"/>
      <c r="K358" s="91"/>
      <c r="L358" s="85"/>
      <c r="M358" s="73"/>
      <c r="N358" s="73"/>
    </row>
    <row r="359" spans="9:18" x14ac:dyDescent="0.2">
      <c r="I359" s="73"/>
      <c r="J359" s="73"/>
      <c r="K359" s="91"/>
      <c r="L359" s="85"/>
      <c r="M359" s="73"/>
      <c r="N359" s="73"/>
    </row>
    <row r="360" spans="9:18" x14ac:dyDescent="0.2">
      <c r="I360" s="73"/>
      <c r="J360" s="73"/>
      <c r="K360" s="91"/>
      <c r="L360" s="85"/>
      <c r="M360" s="73"/>
      <c r="N360" s="73"/>
    </row>
    <row r="361" spans="9:18" x14ac:dyDescent="0.2">
      <c r="I361" s="73"/>
      <c r="J361" s="73"/>
      <c r="K361" s="91"/>
      <c r="L361" s="85"/>
      <c r="M361" s="73"/>
      <c r="N361" s="73"/>
    </row>
    <row r="362" spans="9:18" x14ac:dyDescent="0.2">
      <c r="I362" s="73"/>
      <c r="J362" s="73"/>
      <c r="K362" s="91"/>
      <c r="L362" s="85"/>
      <c r="M362" s="73"/>
      <c r="N362" s="73"/>
    </row>
    <row r="363" spans="9:18" x14ac:dyDescent="0.2">
      <c r="I363" s="73"/>
      <c r="J363" s="73"/>
      <c r="K363" s="91"/>
      <c r="L363" s="85"/>
      <c r="M363" s="73"/>
      <c r="N363" s="73"/>
    </row>
    <row r="364" spans="9:18" x14ac:dyDescent="0.2">
      <c r="I364" s="73"/>
      <c r="J364" s="73"/>
      <c r="K364" s="91"/>
      <c r="L364" s="85"/>
      <c r="M364" s="73"/>
      <c r="N364" s="73"/>
    </row>
    <row r="365" spans="9:18" x14ac:dyDescent="0.2">
      <c r="I365" s="73"/>
      <c r="J365" s="73"/>
      <c r="K365" s="91"/>
      <c r="L365" s="85"/>
      <c r="M365" s="73"/>
      <c r="N365" s="73"/>
    </row>
    <row r="366" spans="9:18" x14ac:dyDescent="0.2">
      <c r="I366" s="73"/>
      <c r="J366" s="73"/>
      <c r="K366" s="91"/>
      <c r="L366" s="85"/>
      <c r="M366" s="73"/>
      <c r="N366" s="73"/>
    </row>
    <row r="367" spans="9:18" x14ac:dyDescent="0.2">
      <c r="I367" s="73"/>
      <c r="J367" s="73"/>
      <c r="K367" s="91"/>
      <c r="L367" s="85"/>
      <c r="M367" s="73"/>
      <c r="N367" s="73"/>
    </row>
    <row r="368" spans="9:18" x14ac:dyDescent="0.2">
      <c r="I368" s="73"/>
      <c r="J368" s="73"/>
      <c r="K368" s="91"/>
      <c r="L368" s="85"/>
      <c r="M368" s="73"/>
      <c r="N368" s="73"/>
    </row>
    <row r="369" spans="3:14" x14ac:dyDescent="0.2">
      <c r="I369" s="73"/>
      <c r="J369" s="73"/>
      <c r="K369" s="91"/>
      <c r="L369" s="85"/>
      <c r="M369" s="73"/>
      <c r="N369" s="73"/>
    </row>
    <row r="370" spans="3:14" x14ac:dyDescent="0.2">
      <c r="I370" s="73"/>
      <c r="J370" s="73"/>
      <c r="K370" s="91"/>
      <c r="L370" s="85"/>
      <c r="M370" s="73"/>
      <c r="N370" s="73"/>
    </row>
    <row r="371" spans="3:14" x14ac:dyDescent="0.2">
      <c r="I371" s="73"/>
      <c r="J371" s="73"/>
      <c r="K371" s="91"/>
      <c r="L371" s="85"/>
      <c r="M371" s="73"/>
      <c r="N371" s="73"/>
    </row>
    <row r="372" spans="3:14" x14ac:dyDescent="0.2">
      <c r="I372" s="73"/>
      <c r="J372" s="73"/>
      <c r="K372" s="91"/>
      <c r="L372" s="85"/>
      <c r="M372" s="73"/>
      <c r="N372" s="73"/>
    </row>
    <row r="373" spans="3:14" x14ac:dyDescent="0.2">
      <c r="I373" s="73"/>
      <c r="J373" s="73"/>
      <c r="K373" s="91"/>
      <c r="L373" s="85"/>
      <c r="M373" s="73"/>
      <c r="N373" s="73"/>
    </row>
    <row r="374" spans="3:14" x14ac:dyDescent="0.2">
      <c r="I374" s="73"/>
      <c r="J374" s="73"/>
      <c r="K374" s="91"/>
      <c r="L374" s="85"/>
      <c r="M374" s="73"/>
      <c r="N374" s="73"/>
    </row>
    <row r="375" spans="3:14" x14ac:dyDescent="0.2">
      <c r="I375" s="73"/>
      <c r="J375" s="73"/>
      <c r="K375" s="91"/>
      <c r="L375" s="85"/>
      <c r="M375" s="73"/>
      <c r="N375" s="73"/>
    </row>
    <row r="376" spans="3:14" x14ac:dyDescent="0.2">
      <c r="I376" s="73"/>
      <c r="J376" s="73"/>
      <c r="K376" s="91"/>
      <c r="L376" s="85"/>
      <c r="M376" s="73"/>
      <c r="N376" s="73"/>
    </row>
    <row r="377" spans="3:14" x14ac:dyDescent="0.2">
      <c r="C377" s="1" t="s">
        <v>248</v>
      </c>
      <c r="I377" s="73"/>
      <c r="J377" s="73"/>
      <c r="K377" s="91"/>
      <c r="L377" s="85"/>
      <c r="M377" s="73"/>
      <c r="N377" s="73"/>
    </row>
    <row r="378" spans="3:14" x14ac:dyDescent="0.2">
      <c r="I378" s="73"/>
      <c r="J378" s="73"/>
      <c r="K378" s="91"/>
      <c r="L378" s="85"/>
      <c r="M378" s="73"/>
      <c r="N378" s="73"/>
    </row>
    <row r="379" spans="3:14" x14ac:dyDescent="0.2">
      <c r="I379" s="73"/>
      <c r="J379" s="73"/>
      <c r="K379" s="91"/>
      <c r="L379" s="85"/>
      <c r="M379" s="73"/>
      <c r="N379" s="73"/>
    </row>
    <row r="380" spans="3:14" x14ac:dyDescent="0.2">
      <c r="I380" s="73"/>
      <c r="J380" s="73"/>
      <c r="K380" s="91"/>
      <c r="L380" s="85"/>
      <c r="M380" s="73"/>
      <c r="N380" s="73"/>
    </row>
    <row r="381" spans="3:14" x14ac:dyDescent="0.2">
      <c r="I381" s="73"/>
      <c r="J381" s="73"/>
      <c r="K381" s="91"/>
      <c r="L381" s="85"/>
      <c r="M381" s="73"/>
      <c r="N381" s="73"/>
    </row>
    <row r="408" spans="9:9" x14ac:dyDescent="0.2">
      <c r="I408" s="83"/>
    </row>
  </sheetData>
  <sheetProtection sheet="1" objects="1" scenarios="1" formatCells="0" selectLockedCells="1"/>
  <phoneticPr fontId="2" type="noConversion"/>
  <pageMargins left="0.75" right="0.75" top="1" bottom="1" header="0.5" footer="0.5"/>
  <pageSetup orientation="portrait"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07"/>
  <sheetViews>
    <sheetView zoomScaleNormal="100" workbookViewId="0">
      <selection activeCell="J26" sqref="J26"/>
    </sheetView>
  </sheetViews>
  <sheetFormatPr defaultRowHeight="12.75" x14ac:dyDescent="0.2"/>
  <cols>
    <col min="1" max="1" width="10.5703125" customWidth="1"/>
    <col min="3" max="3" width="18.7109375" style="2" customWidth="1"/>
    <col min="4" max="4" width="13.85546875" style="3" customWidth="1"/>
    <col min="5" max="5" width="6.42578125" customWidth="1"/>
    <col min="6" max="6" width="6.28515625" customWidth="1"/>
    <col min="7" max="7" width="13.42578125" customWidth="1"/>
    <col min="8" max="8" width="13.7109375" customWidth="1"/>
    <col min="9" max="9" width="15.7109375" customWidth="1"/>
    <col min="10" max="10" width="16.7109375" customWidth="1"/>
    <col min="11" max="11" width="12.5703125" customWidth="1"/>
    <col min="12" max="12" width="12.42578125" customWidth="1"/>
  </cols>
  <sheetData>
    <row r="1" spans="1:15" ht="15.75" x14ac:dyDescent="0.25">
      <c r="A1" s="126" t="s">
        <v>312</v>
      </c>
      <c r="C1"/>
      <c r="I1" s="73"/>
      <c r="J1" s="73"/>
      <c r="K1" s="73"/>
      <c r="L1" s="73"/>
      <c r="M1" s="73"/>
      <c r="N1" s="73"/>
      <c r="O1" s="73"/>
    </row>
    <row r="2" spans="1:15" x14ac:dyDescent="0.2">
      <c r="B2" s="1" t="s">
        <v>343</v>
      </c>
      <c r="C2"/>
      <c r="G2" s="1"/>
      <c r="I2" s="73"/>
      <c r="J2" s="73"/>
      <c r="K2" s="73"/>
      <c r="L2" s="73"/>
      <c r="M2" s="73"/>
      <c r="N2" s="73"/>
      <c r="O2" s="73"/>
    </row>
    <row r="3" spans="1:15" ht="15.75" x14ac:dyDescent="0.25">
      <c r="B3" s="126" t="s">
        <v>92</v>
      </c>
      <c r="C3"/>
      <c r="I3" s="73"/>
      <c r="J3" s="73"/>
      <c r="K3" s="73"/>
      <c r="L3" s="73"/>
      <c r="M3" s="73"/>
      <c r="N3" s="73"/>
      <c r="O3" s="73"/>
    </row>
    <row r="4" spans="1:15" x14ac:dyDescent="0.2">
      <c r="I4" s="73"/>
      <c r="J4" s="73"/>
      <c r="K4" s="73"/>
      <c r="L4" s="73"/>
      <c r="M4" s="73"/>
      <c r="N4" s="73"/>
      <c r="O4" s="73"/>
    </row>
    <row r="5" spans="1:15" x14ac:dyDescent="0.2">
      <c r="I5" s="73"/>
      <c r="J5" s="73"/>
      <c r="K5" s="73"/>
      <c r="L5" s="73"/>
      <c r="M5" s="73"/>
      <c r="N5" s="73"/>
      <c r="O5" s="73"/>
    </row>
    <row r="6" spans="1:15" x14ac:dyDescent="0.2">
      <c r="I6" s="73"/>
      <c r="J6" s="73"/>
      <c r="K6" s="73"/>
      <c r="L6" s="73"/>
      <c r="M6" s="73"/>
      <c r="N6" s="73"/>
      <c r="O6" s="73"/>
    </row>
    <row r="7" spans="1:15" x14ac:dyDescent="0.2">
      <c r="I7" s="73"/>
      <c r="J7" s="73"/>
      <c r="K7" s="73"/>
      <c r="L7" s="73"/>
      <c r="M7" s="73"/>
      <c r="N7" s="73"/>
      <c r="O7" s="73"/>
    </row>
    <row r="8" spans="1:15" x14ac:dyDescent="0.2">
      <c r="I8" s="73"/>
      <c r="J8" s="73"/>
      <c r="K8" s="73"/>
      <c r="L8" s="73"/>
      <c r="M8" s="73"/>
      <c r="N8" s="73"/>
      <c r="O8" s="73"/>
    </row>
    <row r="9" spans="1:15" x14ac:dyDescent="0.2">
      <c r="I9" s="73"/>
      <c r="J9" s="73"/>
      <c r="K9" s="73"/>
      <c r="L9" s="73"/>
      <c r="M9" s="73"/>
      <c r="N9" s="73"/>
      <c r="O9" s="73"/>
    </row>
    <row r="10" spans="1:15" x14ac:dyDescent="0.2">
      <c r="I10" s="73"/>
      <c r="J10" s="73"/>
      <c r="K10" s="73"/>
      <c r="L10" s="73"/>
      <c r="M10" s="73"/>
      <c r="N10" s="73"/>
      <c r="O10" s="73"/>
    </row>
    <row r="11" spans="1:15" x14ac:dyDescent="0.2">
      <c r="I11" s="73"/>
      <c r="J11" s="73"/>
      <c r="K11" s="73"/>
      <c r="L11" s="73"/>
      <c r="M11" s="73"/>
      <c r="N11" s="73"/>
      <c r="O11" s="73"/>
    </row>
    <row r="12" spans="1:15" x14ac:dyDescent="0.2">
      <c r="I12" s="73"/>
      <c r="J12" s="73"/>
      <c r="K12" s="73"/>
      <c r="L12" s="73"/>
      <c r="M12" s="73"/>
      <c r="N12" s="73"/>
      <c r="O12" s="73"/>
    </row>
    <row r="13" spans="1:15" x14ac:dyDescent="0.2">
      <c r="I13" s="73"/>
      <c r="J13" s="73"/>
      <c r="K13" s="73"/>
      <c r="L13" s="73"/>
      <c r="M13" s="73"/>
      <c r="N13" s="73"/>
      <c r="O13" s="73"/>
    </row>
    <row r="14" spans="1:15" x14ac:dyDescent="0.2">
      <c r="I14" s="73"/>
      <c r="J14" s="73"/>
      <c r="K14" s="73"/>
      <c r="L14" s="73"/>
      <c r="M14" s="73"/>
      <c r="N14" s="73"/>
      <c r="O14" s="73"/>
    </row>
    <row r="15" spans="1:15" x14ac:dyDescent="0.2">
      <c r="I15" s="73"/>
      <c r="J15" s="73"/>
      <c r="K15" s="73"/>
      <c r="L15" s="73"/>
      <c r="M15" s="73"/>
      <c r="N15" s="73"/>
      <c r="O15" s="73"/>
    </row>
    <row r="16" spans="1:15" x14ac:dyDescent="0.2">
      <c r="I16" s="73"/>
      <c r="J16" s="73"/>
      <c r="K16" s="73"/>
      <c r="L16" s="73"/>
      <c r="M16" s="73"/>
      <c r="N16" s="73"/>
      <c r="O16" s="73"/>
    </row>
    <row r="17" spans="9:15" x14ac:dyDescent="0.2">
      <c r="I17" s="73"/>
      <c r="J17" s="73"/>
      <c r="K17" s="73"/>
      <c r="L17" s="73"/>
      <c r="M17" s="73"/>
      <c r="N17" s="73"/>
      <c r="O17" s="73"/>
    </row>
    <row r="18" spans="9:15" x14ac:dyDescent="0.2">
      <c r="I18" s="73"/>
      <c r="J18" s="73"/>
      <c r="K18" s="73"/>
      <c r="L18" s="73"/>
      <c r="M18" s="73"/>
      <c r="N18" s="73"/>
      <c r="O18" s="73"/>
    </row>
    <row r="19" spans="9:15" x14ac:dyDescent="0.2">
      <c r="I19" s="73"/>
      <c r="J19" s="73"/>
      <c r="K19" s="73"/>
      <c r="L19" s="73"/>
      <c r="M19" s="73"/>
      <c r="N19" s="73"/>
      <c r="O19" s="73"/>
    </row>
    <row r="20" spans="9:15" x14ac:dyDescent="0.2">
      <c r="I20" s="73"/>
      <c r="J20" s="73"/>
      <c r="K20" s="73"/>
      <c r="L20" s="73"/>
      <c r="M20" s="73"/>
      <c r="N20" s="73"/>
      <c r="O20" s="73"/>
    </row>
    <row r="21" spans="9:15" x14ac:dyDescent="0.2">
      <c r="I21" s="73"/>
      <c r="J21" s="73"/>
      <c r="K21" s="73"/>
      <c r="L21" s="73"/>
      <c r="M21" s="73"/>
      <c r="N21" s="73"/>
      <c r="O21" s="73"/>
    </row>
    <row r="22" spans="9:15" x14ac:dyDescent="0.2">
      <c r="I22" s="73"/>
      <c r="J22" s="73"/>
      <c r="K22" s="73"/>
      <c r="L22" s="73"/>
      <c r="M22" s="73"/>
      <c r="N22" s="73"/>
      <c r="O22" s="73"/>
    </row>
    <row r="23" spans="9:15" x14ac:dyDescent="0.2">
      <c r="I23" s="73"/>
      <c r="J23" s="73"/>
      <c r="K23" s="73"/>
      <c r="L23" s="73"/>
      <c r="M23" s="73"/>
      <c r="N23" s="73"/>
      <c r="O23" s="73"/>
    </row>
    <row r="24" spans="9:15" x14ac:dyDescent="0.2">
      <c r="I24" s="73"/>
      <c r="J24" s="83"/>
      <c r="K24" s="83"/>
      <c r="L24" s="73"/>
      <c r="M24" s="73"/>
      <c r="N24" s="73"/>
      <c r="O24" s="73"/>
    </row>
    <row r="25" spans="9:15" x14ac:dyDescent="0.2">
      <c r="I25" s="73"/>
      <c r="J25" s="83"/>
      <c r="K25" s="83"/>
      <c r="L25" s="73"/>
      <c r="M25" s="73"/>
      <c r="N25" s="73"/>
      <c r="O25" s="73"/>
    </row>
    <row r="26" spans="9:15" x14ac:dyDescent="0.2">
      <c r="I26" s="73"/>
      <c r="J26" s="83"/>
      <c r="K26" s="83"/>
      <c r="L26" s="73"/>
      <c r="M26" s="73"/>
      <c r="N26" s="73"/>
      <c r="O26" s="73"/>
    </row>
    <row r="27" spans="9:15" x14ac:dyDescent="0.2">
      <c r="I27" s="73"/>
      <c r="J27" s="73"/>
      <c r="K27" s="84"/>
      <c r="L27" s="73"/>
      <c r="M27" s="73"/>
      <c r="N27" s="73"/>
      <c r="O27" s="73"/>
    </row>
    <row r="28" spans="9:15" x14ac:dyDescent="0.2">
      <c r="I28" s="73"/>
      <c r="J28" s="73"/>
      <c r="K28" s="84"/>
      <c r="L28" s="73"/>
      <c r="M28" s="73"/>
      <c r="N28" s="73"/>
      <c r="O28" s="73"/>
    </row>
    <row r="29" spans="9:15" x14ac:dyDescent="0.2">
      <c r="I29" s="73"/>
      <c r="J29" s="73"/>
      <c r="K29" s="84"/>
      <c r="L29" s="73"/>
      <c r="M29" s="73"/>
      <c r="N29" s="73"/>
      <c r="O29" s="73"/>
    </row>
    <row r="30" spans="9:15" x14ac:dyDescent="0.2">
      <c r="I30" s="73"/>
      <c r="J30" s="83"/>
      <c r="K30" s="84"/>
      <c r="L30" s="73"/>
      <c r="M30" s="73"/>
      <c r="N30" s="73"/>
      <c r="O30" s="73"/>
    </row>
    <row r="31" spans="9:15" x14ac:dyDescent="0.2">
      <c r="I31" s="73"/>
      <c r="J31" s="73"/>
      <c r="K31" s="84"/>
      <c r="L31" s="73"/>
      <c r="M31" s="73"/>
      <c r="N31" s="73"/>
      <c r="O31" s="73"/>
    </row>
    <row r="32" spans="9:15" x14ac:dyDescent="0.2">
      <c r="I32" s="73"/>
      <c r="J32" s="73"/>
      <c r="K32" s="84"/>
      <c r="L32" s="73"/>
      <c r="M32" s="73"/>
      <c r="N32" s="73"/>
      <c r="O32" s="73"/>
    </row>
    <row r="33" spans="9:15" x14ac:dyDescent="0.2">
      <c r="I33" s="73"/>
      <c r="J33" s="73"/>
      <c r="K33" s="84"/>
      <c r="L33" s="73"/>
      <c r="M33" s="73"/>
      <c r="N33" s="73"/>
      <c r="O33" s="73"/>
    </row>
    <row r="34" spans="9:15" x14ac:dyDescent="0.2">
      <c r="I34" s="73"/>
      <c r="J34" s="73"/>
      <c r="K34" s="84"/>
      <c r="L34" s="73"/>
      <c r="M34" s="73"/>
      <c r="N34" s="73"/>
      <c r="O34" s="73"/>
    </row>
    <row r="35" spans="9:15" x14ac:dyDescent="0.2">
      <c r="I35" s="73"/>
      <c r="J35" s="73"/>
      <c r="K35" s="84"/>
      <c r="L35" s="73"/>
      <c r="M35" s="73"/>
      <c r="N35" s="73"/>
      <c r="O35" s="73"/>
    </row>
    <row r="36" spans="9:15" x14ac:dyDescent="0.2">
      <c r="I36" s="73"/>
      <c r="J36" s="73"/>
      <c r="K36" s="84"/>
      <c r="L36" s="73"/>
      <c r="M36" s="73"/>
      <c r="N36" s="73"/>
      <c r="O36" s="73"/>
    </row>
    <row r="37" spans="9:15" x14ac:dyDescent="0.2">
      <c r="I37" s="73"/>
      <c r="J37" s="73"/>
      <c r="K37" s="84"/>
      <c r="L37" s="73"/>
      <c r="M37" s="73"/>
      <c r="N37" s="73"/>
      <c r="O37" s="73"/>
    </row>
    <row r="38" spans="9:15" x14ac:dyDescent="0.2">
      <c r="I38" s="73"/>
      <c r="J38" s="73"/>
      <c r="K38" s="73"/>
      <c r="L38" s="73"/>
      <c r="M38" s="73"/>
      <c r="N38" s="73"/>
      <c r="O38" s="73"/>
    </row>
    <row r="39" spans="9:15" x14ac:dyDescent="0.2">
      <c r="I39" s="73"/>
      <c r="J39" s="73"/>
      <c r="K39" s="73"/>
      <c r="L39" s="73"/>
      <c r="M39" s="73"/>
      <c r="N39" s="73"/>
      <c r="O39" s="73"/>
    </row>
    <row r="40" spans="9:15" x14ac:dyDescent="0.2">
      <c r="I40" s="73"/>
      <c r="J40" s="73"/>
      <c r="K40" s="73"/>
      <c r="L40" s="73"/>
      <c r="M40" s="73"/>
      <c r="N40" s="73"/>
      <c r="O40" s="73"/>
    </row>
    <row r="41" spans="9:15" x14ac:dyDescent="0.2">
      <c r="I41" s="73"/>
      <c r="J41" s="73"/>
      <c r="K41" s="73"/>
      <c r="L41" s="73"/>
      <c r="M41" s="73"/>
      <c r="N41" s="73"/>
      <c r="O41" s="73"/>
    </row>
    <row r="42" spans="9:15" x14ac:dyDescent="0.2">
      <c r="I42" s="73"/>
      <c r="J42" s="73"/>
      <c r="K42" s="73"/>
      <c r="L42" s="73"/>
      <c r="M42" s="73"/>
      <c r="N42" s="73"/>
      <c r="O42" s="73"/>
    </row>
    <row r="43" spans="9:15" x14ac:dyDescent="0.2">
      <c r="I43" s="73"/>
      <c r="J43" s="73"/>
      <c r="K43" s="73"/>
      <c r="L43" s="73"/>
      <c r="M43" s="73"/>
      <c r="N43" s="73"/>
      <c r="O43" s="73"/>
    </row>
    <row r="44" spans="9:15" x14ac:dyDescent="0.2">
      <c r="I44" s="73"/>
      <c r="J44" s="73"/>
      <c r="K44" s="73"/>
      <c r="L44" s="73"/>
      <c r="M44" s="73"/>
      <c r="N44" s="73"/>
      <c r="O44" s="73"/>
    </row>
    <row r="45" spans="9:15" x14ac:dyDescent="0.2">
      <c r="I45" s="73"/>
      <c r="J45" s="73"/>
      <c r="K45" s="73"/>
      <c r="L45" s="73"/>
      <c r="M45" s="73"/>
      <c r="N45" s="73"/>
      <c r="O45" s="73"/>
    </row>
    <row r="46" spans="9:15" x14ac:dyDescent="0.2">
      <c r="I46" s="73"/>
      <c r="J46" s="73"/>
      <c r="K46" s="73"/>
      <c r="L46" s="73"/>
      <c r="M46" s="73"/>
      <c r="N46" s="73"/>
      <c r="O46" s="73"/>
    </row>
    <row r="47" spans="9:15" x14ac:dyDescent="0.2">
      <c r="I47" s="73"/>
      <c r="J47" s="73"/>
      <c r="K47" s="73"/>
      <c r="L47" s="73"/>
      <c r="M47" s="73"/>
      <c r="N47" s="73"/>
      <c r="O47" s="73"/>
    </row>
    <row r="48" spans="9:15" x14ac:dyDescent="0.2">
      <c r="I48" s="73"/>
      <c r="J48" s="73"/>
      <c r="K48" s="73"/>
      <c r="L48" s="73"/>
      <c r="M48" s="73"/>
      <c r="N48" s="73"/>
      <c r="O48" s="73"/>
    </row>
    <row r="49" spans="9:15" x14ac:dyDescent="0.2">
      <c r="I49" s="73"/>
      <c r="J49" s="73"/>
      <c r="K49" s="73"/>
      <c r="L49" s="73"/>
      <c r="M49" s="73"/>
      <c r="N49" s="73"/>
      <c r="O49" s="73"/>
    </row>
    <row r="50" spans="9:15" x14ac:dyDescent="0.2">
      <c r="I50" s="73"/>
      <c r="J50" s="73"/>
      <c r="K50" s="73"/>
      <c r="L50" s="73"/>
      <c r="M50" s="73"/>
      <c r="N50" s="73"/>
      <c r="O50" s="73"/>
    </row>
    <row r="51" spans="9:15" x14ac:dyDescent="0.2">
      <c r="I51" s="73"/>
      <c r="J51" s="73"/>
      <c r="K51" s="73"/>
      <c r="L51" s="73"/>
      <c r="M51" s="73"/>
      <c r="N51" s="73"/>
      <c r="O51" s="73"/>
    </row>
    <row r="52" spans="9:15" x14ac:dyDescent="0.2">
      <c r="I52" s="73"/>
      <c r="J52" s="73"/>
      <c r="K52" s="73"/>
      <c r="L52" s="73"/>
      <c r="M52" s="73"/>
      <c r="N52" s="73"/>
      <c r="O52" s="73"/>
    </row>
    <row r="53" spans="9:15" x14ac:dyDescent="0.2">
      <c r="I53" s="73"/>
      <c r="J53" s="73"/>
      <c r="K53" s="73"/>
      <c r="L53" s="73"/>
      <c r="M53" s="73"/>
      <c r="N53" s="73"/>
      <c r="O53" s="73"/>
    </row>
    <row r="54" spans="9:15" x14ac:dyDescent="0.2">
      <c r="I54" s="73"/>
      <c r="J54" s="73"/>
      <c r="K54" s="73"/>
      <c r="L54" s="73"/>
      <c r="M54" s="73"/>
      <c r="N54" s="73"/>
      <c r="O54" s="73"/>
    </row>
    <row r="55" spans="9:15" x14ac:dyDescent="0.2">
      <c r="I55" s="73"/>
      <c r="J55" s="73"/>
      <c r="K55" s="73"/>
      <c r="L55" s="73"/>
      <c r="M55" s="73"/>
      <c r="N55" s="73"/>
      <c r="O55" s="73"/>
    </row>
    <row r="56" spans="9:15" x14ac:dyDescent="0.2">
      <c r="I56" s="73"/>
      <c r="J56" s="73"/>
      <c r="K56" s="73"/>
      <c r="L56" s="73"/>
      <c r="M56" s="73"/>
      <c r="N56" s="73"/>
      <c r="O56" s="73"/>
    </row>
    <row r="57" spans="9:15" x14ac:dyDescent="0.2">
      <c r="I57" s="73"/>
      <c r="J57" s="73"/>
      <c r="K57" s="73"/>
      <c r="L57" s="73"/>
      <c r="M57" s="73"/>
      <c r="N57" s="73"/>
      <c r="O57" s="73"/>
    </row>
    <row r="58" spans="9:15" x14ac:dyDescent="0.2">
      <c r="I58" s="73"/>
      <c r="J58" s="73"/>
      <c r="K58" s="73"/>
      <c r="L58" s="73"/>
      <c r="M58" s="73"/>
      <c r="N58" s="73"/>
      <c r="O58" s="73"/>
    </row>
    <row r="59" spans="9:15" x14ac:dyDescent="0.2">
      <c r="I59" s="73"/>
      <c r="J59" s="73"/>
      <c r="K59" s="73"/>
      <c r="L59" s="73"/>
      <c r="M59" s="73"/>
      <c r="N59" s="73"/>
      <c r="O59" s="73"/>
    </row>
    <row r="60" spans="9:15" x14ac:dyDescent="0.2">
      <c r="I60" s="73"/>
      <c r="J60" s="73"/>
      <c r="K60" s="73"/>
      <c r="L60" s="73"/>
      <c r="M60" s="73"/>
      <c r="N60" s="73"/>
      <c r="O60" s="73"/>
    </row>
    <row r="61" spans="9:15" x14ac:dyDescent="0.2">
      <c r="I61" s="73"/>
      <c r="J61" s="73"/>
      <c r="K61" s="73"/>
      <c r="L61" s="73"/>
      <c r="M61" s="73"/>
      <c r="N61" s="73"/>
      <c r="O61" s="73"/>
    </row>
    <row r="62" spans="9:15" x14ac:dyDescent="0.2">
      <c r="I62" s="73"/>
      <c r="J62" s="73"/>
      <c r="K62" s="73"/>
      <c r="L62" s="73"/>
      <c r="M62" s="73"/>
      <c r="N62" s="73"/>
      <c r="O62" s="73"/>
    </row>
    <row r="63" spans="9:15" x14ac:dyDescent="0.2">
      <c r="I63" s="73"/>
      <c r="J63" s="73"/>
      <c r="K63" s="73"/>
      <c r="L63" s="73"/>
      <c r="M63" s="73"/>
      <c r="N63" s="73"/>
      <c r="O63" s="73"/>
    </row>
    <row r="64" spans="9:15" x14ac:dyDescent="0.2">
      <c r="I64" s="73"/>
      <c r="J64" s="73"/>
      <c r="K64" s="73"/>
      <c r="L64" s="73"/>
      <c r="M64" s="73"/>
      <c r="N64" s="73"/>
      <c r="O64" s="73"/>
    </row>
    <row r="65" spans="9:15" x14ac:dyDescent="0.2">
      <c r="I65" s="73"/>
      <c r="J65" s="73"/>
      <c r="K65" s="73"/>
      <c r="L65" s="73"/>
      <c r="M65" s="73"/>
      <c r="N65" s="73"/>
      <c r="O65" s="73"/>
    </row>
    <row r="66" spans="9:15" x14ac:dyDescent="0.2">
      <c r="I66" s="73"/>
      <c r="J66" s="73"/>
      <c r="K66" s="73"/>
      <c r="L66" s="73"/>
      <c r="M66" s="73"/>
      <c r="N66" s="73"/>
      <c r="O66" s="73"/>
    </row>
    <row r="67" spans="9:15" x14ac:dyDescent="0.2">
      <c r="I67" s="73"/>
      <c r="J67" s="73"/>
      <c r="K67" s="73"/>
      <c r="L67" s="73"/>
      <c r="M67" s="73"/>
      <c r="N67" s="73"/>
      <c r="O67" s="73"/>
    </row>
    <row r="68" spans="9:15" x14ac:dyDescent="0.2">
      <c r="I68" s="73"/>
      <c r="J68" s="73"/>
      <c r="K68" s="73"/>
      <c r="L68" s="73"/>
      <c r="M68" s="73"/>
      <c r="N68" s="73"/>
      <c r="O68" s="73"/>
    </row>
    <row r="69" spans="9:15" x14ac:dyDescent="0.2">
      <c r="I69" s="73"/>
      <c r="J69" s="73"/>
      <c r="K69" s="73"/>
      <c r="L69" s="73"/>
      <c r="M69" s="73"/>
      <c r="N69" s="73"/>
      <c r="O69" s="73"/>
    </row>
    <row r="70" spans="9:15" x14ac:dyDescent="0.2">
      <c r="I70" s="73"/>
      <c r="J70" s="73"/>
      <c r="K70" s="73"/>
      <c r="L70" s="73"/>
      <c r="M70" s="73"/>
      <c r="N70" s="73"/>
      <c r="O70" s="73"/>
    </row>
    <row r="71" spans="9:15" x14ac:dyDescent="0.2">
      <c r="I71" s="73"/>
      <c r="J71" s="73"/>
      <c r="K71" s="73"/>
      <c r="L71" s="73"/>
      <c r="M71" s="73"/>
      <c r="N71" s="73"/>
      <c r="O71" s="73"/>
    </row>
    <row r="72" spans="9:15" x14ac:dyDescent="0.2">
      <c r="I72" s="73"/>
      <c r="J72" s="73"/>
      <c r="K72" s="73"/>
      <c r="L72" s="73"/>
      <c r="M72" s="73"/>
      <c r="N72" s="73"/>
      <c r="O72" s="73"/>
    </row>
    <row r="73" spans="9:15" x14ac:dyDescent="0.2">
      <c r="I73" s="73"/>
      <c r="J73" s="73"/>
      <c r="K73" s="73"/>
      <c r="L73" s="73"/>
      <c r="M73" s="73"/>
      <c r="N73" s="73"/>
      <c r="O73" s="73"/>
    </row>
    <row r="74" spans="9:15" x14ac:dyDescent="0.2">
      <c r="I74" s="73"/>
      <c r="J74" s="73"/>
      <c r="K74" s="73"/>
      <c r="L74" s="73"/>
      <c r="M74" s="73"/>
      <c r="N74" s="73"/>
      <c r="O74" s="73"/>
    </row>
    <row r="75" spans="9:15" x14ac:dyDescent="0.2">
      <c r="I75" s="73"/>
      <c r="J75" s="73"/>
      <c r="K75" s="73"/>
      <c r="L75" s="73"/>
      <c r="M75" s="73"/>
      <c r="N75" s="73"/>
      <c r="O75" s="73"/>
    </row>
    <row r="76" spans="9:15" x14ac:dyDescent="0.2">
      <c r="I76" s="73"/>
      <c r="J76" s="73"/>
      <c r="K76" s="73"/>
      <c r="L76" s="73"/>
      <c r="M76" s="73"/>
      <c r="N76" s="73"/>
      <c r="O76" s="73"/>
    </row>
    <row r="77" spans="9:15" x14ac:dyDescent="0.2">
      <c r="I77" s="73"/>
      <c r="J77" s="73"/>
      <c r="K77" s="73"/>
      <c r="L77" s="73"/>
      <c r="M77" s="73"/>
      <c r="N77" s="73"/>
      <c r="O77" s="73"/>
    </row>
    <row r="78" spans="9:15" x14ac:dyDescent="0.2">
      <c r="I78" s="73"/>
      <c r="J78" s="73"/>
      <c r="K78" s="73"/>
      <c r="L78" s="73"/>
      <c r="M78" s="73"/>
      <c r="N78" s="73"/>
      <c r="O78" s="73"/>
    </row>
    <row r="79" spans="9:15" x14ac:dyDescent="0.2">
      <c r="I79" s="73"/>
      <c r="J79" s="73"/>
      <c r="K79" s="73"/>
      <c r="L79" s="73"/>
      <c r="M79" s="73"/>
      <c r="N79" s="73"/>
      <c r="O79" s="73"/>
    </row>
    <row r="80" spans="9:15" x14ac:dyDescent="0.2">
      <c r="I80" s="73"/>
      <c r="J80" s="73"/>
      <c r="K80" s="73"/>
      <c r="L80" s="73"/>
      <c r="M80" s="73"/>
      <c r="N80" s="73"/>
      <c r="O80" s="73"/>
    </row>
    <row r="81" spans="9:15" x14ac:dyDescent="0.2">
      <c r="I81" s="73"/>
      <c r="J81" s="73"/>
      <c r="K81" s="73"/>
      <c r="L81" s="73"/>
      <c r="M81" s="73"/>
      <c r="N81" s="73"/>
      <c r="O81" s="73"/>
    </row>
    <row r="82" spans="9:15" x14ac:dyDescent="0.2">
      <c r="I82" s="73"/>
      <c r="J82" s="73"/>
      <c r="K82" s="73"/>
      <c r="L82" s="73"/>
      <c r="M82" s="73"/>
      <c r="N82" s="73"/>
      <c r="O82" s="73"/>
    </row>
    <row r="83" spans="9:15" x14ac:dyDescent="0.2">
      <c r="I83" s="73"/>
      <c r="J83" s="73"/>
      <c r="K83" s="73"/>
      <c r="L83" s="73"/>
      <c r="M83" s="73"/>
      <c r="N83" s="73"/>
      <c r="O83" s="73"/>
    </row>
    <row r="84" spans="9:15" x14ac:dyDescent="0.2">
      <c r="I84" s="73"/>
      <c r="J84" s="73"/>
      <c r="K84" s="73"/>
      <c r="L84" s="73"/>
      <c r="M84" s="73"/>
      <c r="N84" s="73"/>
      <c r="O84" s="73"/>
    </row>
    <row r="85" spans="9:15" x14ac:dyDescent="0.2">
      <c r="I85" s="73"/>
      <c r="J85" s="73"/>
      <c r="K85" s="73"/>
      <c r="L85" s="73"/>
      <c r="M85" s="73"/>
      <c r="N85" s="73"/>
      <c r="O85" s="73"/>
    </row>
    <row r="86" spans="9:15" x14ac:dyDescent="0.2">
      <c r="I86" s="73"/>
      <c r="J86" s="73"/>
      <c r="K86" s="73"/>
      <c r="L86" s="73"/>
      <c r="M86" s="73"/>
      <c r="N86" s="73"/>
      <c r="O86" s="73"/>
    </row>
    <row r="87" spans="9:15" x14ac:dyDescent="0.2">
      <c r="I87" s="73"/>
      <c r="J87" s="73"/>
      <c r="K87" s="73"/>
      <c r="L87" s="73"/>
      <c r="M87" s="73"/>
      <c r="N87" s="73"/>
      <c r="O87" s="73"/>
    </row>
    <row r="88" spans="9:15" x14ac:dyDescent="0.2">
      <c r="I88" s="73"/>
      <c r="J88" s="73"/>
      <c r="K88" s="73"/>
      <c r="L88" s="73"/>
      <c r="M88" s="73"/>
      <c r="N88" s="73"/>
      <c r="O88" s="73"/>
    </row>
    <row r="89" spans="9:15" x14ac:dyDescent="0.2">
      <c r="I89" s="73"/>
      <c r="J89" s="73"/>
      <c r="K89" s="73"/>
      <c r="L89" s="73"/>
      <c r="M89" s="73"/>
      <c r="N89" s="73"/>
      <c r="O89" s="73"/>
    </row>
    <row r="90" spans="9:15" x14ac:dyDescent="0.2">
      <c r="I90" s="73"/>
      <c r="J90" s="73"/>
      <c r="K90" s="73"/>
      <c r="L90" s="73"/>
      <c r="M90" s="73"/>
      <c r="N90" s="73"/>
      <c r="O90" s="73"/>
    </row>
    <row r="91" spans="9:15" x14ac:dyDescent="0.2">
      <c r="I91" s="73"/>
      <c r="J91" s="73"/>
      <c r="K91" s="73"/>
      <c r="L91" s="73"/>
      <c r="M91" s="73"/>
      <c r="N91" s="73"/>
      <c r="O91" s="73"/>
    </row>
    <row r="92" spans="9:15" x14ac:dyDescent="0.2">
      <c r="I92" s="73"/>
      <c r="J92" s="73"/>
      <c r="K92" s="73"/>
      <c r="L92" s="73"/>
      <c r="M92" s="73"/>
      <c r="N92" s="73"/>
      <c r="O92" s="73"/>
    </row>
    <row r="93" spans="9:15" x14ac:dyDescent="0.2">
      <c r="I93" s="73"/>
      <c r="J93" s="73"/>
      <c r="K93" s="73"/>
      <c r="L93" s="73"/>
      <c r="M93" s="73"/>
      <c r="N93" s="73"/>
      <c r="O93" s="73"/>
    </row>
    <row r="94" spans="9:15" x14ac:dyDescent="0.2">
      <c r="I94" s="73"/>
      <c r="J94" s="73"/>
      <c r="K94" s="73"/>
      <c r="L94" s="73"/>
      <c r="M94" s="73"/>
      <c r="N94" s="73"/>
      <c r="O94" s="73"/>
    </row>
    <row r="95" spans="9:15" x14ac:dyDescent="0.2">
      <c r="I95" s="73"/>
      <c r="J95" s="73"/>
      <c r="K95" s="73"/>
      <c r="L95" s="73"/>
      <c r="M95" s="73"/>
      <c r="N95" s="73"/>
      <c r="O95" s="73"/>
    </row>
    <row r="96" spans="9:15" x14ac:dyDescent="0.2">
      <c r="I96" s="73"/>
      <c r="J96" s="73"/>
      <c r="K96" s="73"/>
      <c r="L96" s="73"/>
      <c r="M96" s="73"/>
      <c r="N96" s="73"/>
      <c r="O96" s="73"/>
    </row>
    <row r="97" spans="1:15" x14ac:dyDescent="0.2">
      <c r="I97" s="73"/>
      <c r="J97" s="73"/>
      <c r="K97" s="73"/>
      <c r="L97" s="73"/>
      <c r="M97" s="73"/>
      <c r="N97" s="73"/>
      <c r="O97" s="73"/>
    </row>
    <row r="98" spans="1:15" x14ac:dyDescent="0.2">
      <c r="I98" s="73"/>
      <c r="J98" s="73"/>
      <c r="K98" s="73"/>
      <c r="L98" s="73"/>
      <c r="M98" s="73"/>
      <c r="N98" s="73"/>
      <c r="O98" s="73"/>
    </row>
    <row r="99" spans="1:15" x14ac:dyDescent="0.2">
      <c r="I99" s="73"/>
      <c r="J99" s="73"/>
      <c r="K99" s="73"/>
      <c r="L99" s="73"/>
      <c r="M99" s="73"/>
      <c r="N99" s="73"/>
      <c r="O99" s="73"/>
    </row>
    <row r="100" spans="1:15" x14ac:dyDescent="0.2">
      <c r="I100" s="73"/>
      <c r="J100" s="73"/>
      <c r="K100" s="73"/>
      <c r="L100" s="73"/>
      <c r="M100" s="73"/>
      <c r="N100" s="73"/>
      <c r="O100" s="73"/>
    </row>
    <row r="101" spans="1:15" x14ac:dyDescent="0.2">
      <c r="I101" s="73"/>
      <c r="J101" s="73"/>
      <c r="K101" s="73"/>
      <c r="L101" s="73"/>
      <c r="M101" s="73"/>
      <c r="N101" s="73"/>
      <c r="O101" s="73"/>
    </row>
    <row r="102" spans="1:15" x14ac:dyDescent="0.2">
      <c r="I102" s="73"/>
      <c r="J102" s="73"/>
      <c r="K102" s="73"/>
      <c r="L102" s="73"/>
      <c r="M102" s="73"/>
      <c r="N102" s="73"/>
      <c r="O102" s="73"/>
    </row>
    <row r="103" spans="1:15" x14ac:dyDescent="0.2">
      <c r="I103" s="73"/>
      <c r="J103" s="73"/>
      <c r="K103" s="73"/>
      <c r="L103" s="73"/>
      <c r="M103" s="73"/>
      <c r="N103" s="73"/>
      <c r="O103" s="73"/>
    </row>
    <row r="104" spans="1:15" x14ac:dyDescent="0.2">
      <c r="I104" s="73"/>
      <c r="J104" s="73"/>
      <c r="K104" s="73"/>
      <c r="L104" s="73"/>
      <c r="M104" s="73"/>
      <c r="N104" s="73"/>
      <c r="O104" s="73"/>
    </row>
    <row r="105" spans="1:15" ht="13.5" thickBot="1" x14ac:dyDescent="0.25">
      <c r="A105" s="1" t="s">
        <v>166</v>
      </c>
      <c r="D105" s="5" t="s">
        <v>0</v>
      </c>
      <c r="I105" s="73"/>
      <c r="J105" s="85"/>
      <c r="K105" s="73"/>
      <c r="L105" s="73"/>
      <c r="M105" s="73"/>
      <c r="N105" s="73"/>
      <c r="O105" s="73"/>
    </row>
    <row r="106" spans="1:15" x14ac:dyDescent="0.2">
      <c r="C106" s="2" t="s">
        <v>150</v>
      </c>
      <c r="D106" s="76">
        <v>17.5</v>
      </c>
      <c r="E106" t="s">
        <v>41</v>
      </c>
      <c r="I106" s="73"/>
      <c r="J106" s="86"/>
      <c r="K106" s="73"/>
      <c r="L106" s="73"/>
      <c r="M106" s="73"/>
      <c r="N106" s="73"/>
      <c r="O106" s="73"/>
    </row>
    <row r="107" spans="1:15" x14ac:dyDescent="0.2">
      <c r="C107" s="2" t="s">
        <v>19</v>
      </c>
      <c r="D107" s="77">
        <v>21.6</v>
      </c>
      <c r="E107" t="s">
        <v>41</v>
      </c>
      <c r="I107" s="73"/>
      <c r="J107" s="86"/>
      <c r="K107" s="73"/>
      <c r="L107" s="73"/>
      <c r="M107" s="73"/>
      <c r="N107" s="73"/>
      <c r="O107" s="73"/>
    </row>
    <row r="108" spans="1:15" x14ac:dyDescent="0.2">
      <c r="C108" s="2" t="s">
        <v>18</v>
      </c>
      <c r="D108" s="77">
        <v>29</v>
      </c>
      <c r="E108" t="s">
        <v>41</v>
      </c>
      <c r="I108" s="73"/>
      <c r="J108" s="86"/>
      <c r="K108" s="73"/>
      <c r="L108" s="73"/>
      <c r="M108" s="73"/>
      <c r="N108" s="73"/>
      <c r="O108" s="73"/>
    </row>
    <row r="109" spans="1:15" x14ac:dyDescent="0.2">
      <c r="C109" s="2" t="s">
        <v>20</v>
      </c>
      <c r="D109" s="77">
        <v>58</v>
      </c>
      <c r="E109" t="s">
        <v>41</v>
      </c>
      <c r="I109" s="73"/>
      <c r="J109" s="86"/>
      <c r="K109" s="73"/>
      <c r="L109" s="73"/>
      <c r="M109" s="73"/>
      <c r="N109" s="73"/>
      <c r="O109" s="73"/>
    </row>
    <row r="110" spans="1:15" x14ac:dyDescent="0.2">
      <c r="C110" s="2" t="s">
        <v>140</v>
      </c>
      <c r="D110" s="69">
        <v>1</v>
      </c>
      <c r="E110" t="s">
        <v>4</v>
      </c>
      <c r="I110" s="73"/>
      <c r="J110" s="86"/>
      <c r="K110" s="73"/>
      <c r="L110" s="73"/>
      <c r="M110" s="73"/>
      <c r="N110" s="73"/>
      <c r="O110" s="73"/>
    </row>
    <row r="111" spans="1:15" x14ac:dyDescent="0.2">
      <c r="C111" s="2" t="s">
        <v>42</v>
      </c>
      <c r="D111" s="70">
        <v>1</v>
      </c>
      <c r="G111" s="25" t="s">
        <v>73</v>
      </c>
      <c r="H111" s="25" t="s">
        <v>74</v>
      </c>
      <c r="I111" s="73"/>
      <c r="J111" s="86"/>
      <c r="K111" s="73"/>
      <c r="L111" s="73"/>
      <c r="M111" s="73"/>
      <c r="N111" s="73"/>
      <c r="O111" s="73"/>
    </row>
    <row r="112" spans="1:15" ht="15" thickBot="1" x14ac:dyDescent="0.25">
      <c r="C112" s="2" t="s">
        <v>7</v>
      </c>
      <c r="D112" s="78">
        <v>0.625</v>
      </c>
      <c r="E112" t="s">
        <v>4</v>
      </c>
      <c r="G112" s="21"/>
      <c r="H112" s="21" t="s">
        <v>85</v>
      </c>
      <c r="I112" s="73"/>
      <c r="J112" s="86"/>
      <c r="K112" s="73"/>
      <c r="L112" s="73"/>
      <c r="M112" s="73"/>
      <c r="N112" s="73"/>
      <c r="O112" s="73"/>
    </row>
    <row r="113" spans="3:15" ht="13.5" thickBot="1" x14ac:dyDescent="0.25">
      <c r="C113" s="2" t="s">
        <v>1</v>
      </c>
      <c r="D113" s="78">
        <v>3</v>
      </c>
      <c r="E113" t="s">
        <v>4</v>
      </c>
      <c r="G113" s="29" t="s">
        <v>75</v>
      </c>
      <c r="H113" s="51" t="s">
        <v>181</v>
      </c>
      <c r="I113" s="73"/>
      <c r="J113" s="86"/>
      <c r="K113" s="73"/>
      <c r="L113" s="73"/>
      <c r="M113" s="73"/>
      <c r="N113" s="73"/>
      <c r="O113" s="73"/>
    </row>
    <row r="114" spans="3:15" ht="13.5" thickBot="1" x14ac:dyDescent="0.25">
      <c r="C114" s="2" t="s">
        <v>2</v>
      </c>
      <c r="D114" s="79">
        <v>1.5</v>
      </c>
      <c r="E114" t="s">
        <v>4</v>
      </c>
      <c r="G114" t="s">
        <v>76</v>
      </c>
      <c r="H114" s="24">
        <v>17.5</v>
      </c>
      <c r="I114" s="73"/>
      <c r="J114" s="86"/>
      <c r="K114" s="73"/>
      <c r="L114" s="73"/>
      <c r="M114" s="73"/>
      <c r="N114" s="73"/>
      <c r="O114" s="73"/>
    </row>
    <row r="115" spans="3:15" x14ac:dyDescent="0.2">
      <c r="D115" s="5" t="s">
        <v>5</v>
      </c>
      <c r="G115" t="s">
        <v>77</v>
      </c>
      <c r="H115" s="24">
        <v>22</v>
      </c>
      <c r="I115" s="73"/>
      <c r="J115" s="86"/>
      <c r="K115" s="73"/>
      <c r="L115" s="73"/>
      <c r="M115" s="73"/>
      <c r="N115" s="73"/>
      <c r="O115" s="73"/>
    </row>
    <row r="116" spans="3:15" x14ac:dyDescent="0.2">
      <c r="C116" s="9" t="s">
        <v>9</v>
      </c>
      <c r="D116" s="4" t="s">
        <v>192</v>
      </c>
      <c r="E116" s="1"/>
      <c r="H116" s="24"/>
      <c r="I116" s="73"/>
      <c r="J116" s="73"/>
      <c r="K116" s="73"/>
      <c r="L116" s="73"/>
      <c r="M116" s="73"/>
      <c r="N116" s="73"/>
      <c r="O116" s="73"/>
    </row>
    <row r="117" spans="3:15" ht="13.5" thickBot="1" x14ac:dyDescent="0.25">
      <c r="C117" s="7" t="s">
        <v>6</v>
      </c>
      <c r="D117" s="8">
        <f>D111*D106 * 3.1416 * D110^2 / 4</f>
        <v>13.7445</v>
      </c>
      <c r="E117" s="1" t="s">
        <v>3</v>
      </c>
      <c r="G117" s="21" t="s">
        <v>78</v>
      </c>
      <c r="H117" s="51" t="s">
        <v>181</v>
      </c>
      <c r="I117" s="73"/>
      <c r="J117" s="87"/>
      <c r="K117" s="73"/>
      <c r="L117" s="73"/>
      <c r="M117" s="73"/>
      <c r="N117" s="73"/>
      <c r="O117" s="73"/>
    </row>
    <row r="118" spans="3:15" x14ac:dyDescent="0.2">
      <c r="C118" s="9" t="s">
        <v>21</v>
      </c>
      <c r="D118" s="23" t="s">
        <v>149</v>
      </c>
      <c r="E118" s="1"/>
      <c r="G118" t="s">
        <v>79</v>
      </c>
      <c r="H118" s="24">
        <v>10</v>
      </c>
      <c r="I118" s="73"/>
      <c r="J118" s="87"/>
      <c r="K118" s="73"/>
      <c r="L118" s="73"/>
      <c r="M118" s="73"/>
      <c r="N118" s="73"/>
      <c r="O118" s="73"/>
    </row>
    <row r="119" spans="3:15" ht="14.25" x14ac:dyDescent="0.2">
      <c r="C119" s="9"/>
      <c r="D119" s="23">
        <f>D110+0.125</f>
        <v>1.125</v>
      </c>
      <c r="E119" s="1" t="s">
        <v>4</v>
      </c>
      <c r="G119" t="s">
        <v>80</v>
      </c>
      <c r="H119" s="24">
        <v>21</v>
      </c>
      <c r="I119" s="10"/>
      <c r="J119" s="87"/>
      <c r="K119" s="73"/>
      <c r="L119" s="73"/>
      <c r="M119" s="73"/>
      <c r="N119" s="73"/>
      <c r="O119" s="73"/>
    </row>
    <row r="120" spans="3:15" ht="14.25" x14ac:dyDescent="0.2">
      <c r="C120" s="9" t="s">
        <v>12</v>
      </c>
      <c r="D120" s="4" t="s">
        <v>167</v>
      </c>
      <c r="G120" t="s">
        <v>180</v>
      </c>
      <c r="H120" s="24">
        <v>30</v>
      </c>
      <c r="I120" s="73"/>
      <c r="J120" s="87"/>
      <c r="K120" s="73"/>
      <c r="L120" s="73"/>
      <c r="M120" s="73"/>
      <c r="N120" s="73"/>
      <c r="O120" s="73"/>
    </row>
    <row r="121" spans="3:15" ht="14.25" x14ac:dyDescent="0.2">
      <c r="C121" s="6" t="s">
        <v>6</v>
      </c>
      <c r="D121" s="8">
        <f>D107 *D112 * ( D113 -(D111* D119 ))</f>
        <v>25.3125</v>
      </c>
      <c r="E121" s="1" t="s">
        <v>3</v>
      </c>
      <c r="G121" t="s">
        <v>82</v>
      </c>
      <c r="H121" s="24">
        <v>28</v>
      </c>
      <c r="I121" s="73"/>
      <c r="J121" s="88"/>
      <c r="K121" s="73"/>
      <c r="L121" s="73"/>
      <c r="M121" s="73"/>
      <c r="N121" s="73"/>
      <c r="O121" s="73"/>
    </row>
    <row r="122" spans="3:15" ht="14.25" x14ac:dyDescent="0.2">
      <c r="C122" s="9" t="s">
        <v>8</v>
      </c>
      <c r="D122" s="4" t="s">
        <v>168</v>
      </c>
      <c r="E122" s="1"/>
      <c r="G122" t="s">
        <v>90</v>
      </c>
      <c r="H122" s="24">
        <v>40</v>
      </c>
      <c r="I122" s="73"/>
      <c r="J122" s="85"/>
      <c r="K122" s="73"/>
      <c r="L122" s="73"/>
      <c r="M122" s="73"/>
      <c r="N122" s="73"/>
      <c r="O122" s="73"/>
    </row>
    <row r="123" spans="3:15" x14ac:dyDescent="0.2">
      <c r="C123" s="6" t="s">
        <v>6</v>
      </c>
      <c r="D123" s="8">
        <f>D111*2 * D108 *D112 * D114</f>
        <v>54.375</v>
      </c>
      <c r="E123" s="1" t="s">
        <v>3</v>
      </c>
      <c r="G123" t="s">
        <v>83</v>
      </c>
      <c r="H123" s="24">
        <v>17.5</v>
      </c>
      <c r="I123" s="73"/>
      <c r="J123" s="88"/>
      <c r="K123" s="73"/>
      <c r="L123" s="73"/>
      <c r="M123" s="73"/>
      <c r="N123" s="73"/>
      <c r="O123" s="73"/>
    </row>
    <row r="124" spans="3:15" ht="13.5" thickBot="1" x14ac:dyDescent="0.25">
      <c r="C124" s="9" t="s">
        <v>10</v>
      </c>
      <c r="D124" s="4" t="s">
        <v>196</v>
      </c>
      <c r="E124" s="1"/>
      <c r="G124" s="30" t="s">
        <v>84</v>
      </c>
      <c r="H124" s="27">
        <v>22</v>
      </c>
      <c r="I124" s="73"/>
      <c r="J124" s="88"/>
      <c r="K124" s="73"/>
      <c r="L124" s="73"/>
      <c r="M124" s="73"/>
      <c r="N124" s="73"/>
      <c r="O124" s="73"/>
    </row>
    <row r="125" spans="3:15" x14ac:dyDescent="0.2">
      <c r="C125" s="7" t="s">
        <v>6</v>
      </c>
      <c r="D125" s="8">
        <f>D109 *D112 * D111*D110</f>
        <v>36.25</v>
      </c>
      <c r="E125" s="1" t="s">
        <v>3</v>
      </c>
      <c r="I125" s="73"/>
      <c r="J125" s="88"/>
      <c r="K125" s="73"/>
      <c r="L125" s="73"/>
      <c r="M125" s="73"/>
      <c r="N125" s="73"/>
      <c r="O125" s="73"/>
    </row>
    <row r="126" spans="3:15" x14ac:dyDescent="0.2">
      <c r="C126" s="9" t="s">
        <v>28</v>
      </c>
      <c r="D126" s="4" t="s">
        <v>22</v>
      </c>
      <c r="F126" s="1" t="s">
        <v>23</v>
      </c>
      <c r="I126" s="73"/>
      <c r="J126" s="73"/>
      <c r="K126" s="73"/>
      <c r="L126" s="73"/>
      <c r="M126" s="73"/>
      <c r="N126" s="73"/>
      <c r="O126" s="73"/>
    </row>
    <row r="127" spans="3:15" x14ac:dyDescent="0.2">
      <c r="C127" s="7" t="s">
        <v>6</v>
      </c>
      <c r="D127" s="8">
        <f>D107 *D112 * D113</f>
        <v>40.5</v>
      </c>
      <c r="E127" s="1" t="s">
        <v>3</v>
      </c>
      <c r="I127" s="73"/>
      <c r="J127" s="73"/>
      <c r="K127" s="73"/>
      <c r="L127" s="73"/>
      <c r="M127" s="73"/>
      <c r="N127" s="73"/>
      <c r="O127" s="73"/>
    </row>
    <row r="128" spans="3:15" ht="13.5" thickBot="1" x14ac:dyDescent="0.25">
      <c r="D128" s="5" t="s">
        <v>0</v>
      </c>
      <c r="I128" s="73"/>
      <c r="J128" s="73"/>
      <c r="K128" s="73"/>
      <c r="L128" s="73"/>
      <c r="M128" s="73"/>
      <c r="N128" s="73"/>
      <c r="O128" s="73"/>
    </row>
    <row r="129" spans="1:15" x14ac:dyDescent="0.2">
      <c r="B129" s="11"/>
      <c r="C129" s="10" t="s">
        <v>151</v>
      </c>
      <c r="D129" s="80">
        <v>13.74</v>
      </c>
      <c r="E129" s="11" t="s">
        <v>3</v>
      </c>
      <c r="I129" s="73"/>
      <c r="J129" s="73"/>
      <c r="K129" s="73"/>
      <c r="L129" s="73"/>
      <c r="M129" s="73"/>
      <c r="N129" s="73"/>
      <c r="O129" s="73"/>
    </row>
    <row r="130" spans="1:15" ht="13.5" thickBot="1" x14ac:dyDescent="0.25">
      <c r="C130" s="2" t="s">
        <v>25</v>
      </c>
      <c r="D130" s="71">
        <v>6</v>
      </c>
      <c r="E130" s="11" t="s">
        <v>3</v>
      </c>
      <c r="I130" s="73"/>
      <c r="J130" s="73"/>
      <c r="K130" s="73"/>
      <c r="L130" s="73"/>
      <c r="M130" s="73"/>
      <c r="N130" s="73"/>
      <c r="O130" s="73"/>
    </row>
    <row r="131" spans="1:15" x14ac:dyDescent="0.2">
      <c r="D131" s="5" t="s">
        <v>5</v>
      </c>
      <c r="I131" s="73"/>
      <c r="J131" s="73"/>
      <c r="K131" s="73"/>
      <c r="L131" s="73"/>
      <c r="M131" s="73"/>
      <c r="N131" s="73"/>
      <c r="O131" s="73"/>
    </row>
    <row r="132" spans="1:15" x14ac:dyDescent="0.2">
      <c r="C132" s="9" t="s">
        <v>13</v>
      </c>
      <c r="D132" s="4" t="s">
        <v>32</v>
      </c>
      <c r="I132" s="73"/>
      <c r="J132" s="73"/>
      <c r="K132" s="73"/>
      <c r="L132" s="73"/>
      <c r="M132" s="73"/>
      <c r="N132" s="73"/>
      <c r="O132" s="73"/>
    </row>
    <row r="133" spans="1:15" x14ac:dyDescent="0.2">
      <c r="C133" s="7" t="s">
        <v>6</v>
      </c>
      <c r="D133" s="12">
        <f>D129 / D127</f>
        <v>0.33925925925925926</v>
      </c>
      <c r="I133" s="73"/>
      <c r="J133" s="73"/>
      <c r="K133" s="73"/>
      <c r="L133" s="73"/>
      <c r="M133" s="73"/>
      <c r="N133" s="73"/>
      <c r="O133" s="73"/>
    </row>
    <row r="134" spans="1:15" x14ac:dyDescent="0.2">
      <c r="C134" s="9" t="s">
        <v>26</v>
      </c>
      <c r="D134" s="4" t="s">
        <v>247</v>
      </c>
      <c r="I134" s="73"/>
      <c r="J134" s="73"/>
      <c r="K134" s="73"/>
      <c r="L134" s="73"/>
      <c r="M134" s="73"/>
      <c r="N134" s="73"/>
      <c r="O134" s="73"/>
    </row>
    <row r="135" spans="1:15" x14ac:dyDescent="0.2">
      <c r="C135" s="7" t="s">
        <v>6</v>
      </c>
      <c r="D135" s="8">
        <f>D129/D130</f>
        <v>2.29</v>
      </c>
      <c r="I135" s="73"/>
      <c r="J135" s="73"/>
      <c r="K135" s="73"/>
      <c r="L135" s="73"/>
      <c r="M135" s="73"/>
      <c r="N135" s="73"/>
      <c r="O135" s="73"/>
    </row>
    <row r="136" spans="1:15" ht="15.75" x14ac:dyDescent="0.25">
      <c r="I136" s="73"/>
      <c r="J136" s="73"/>
      <c r="K136" s="96"/>
      <c r="L136" s="73"/>
      <c r="M136" s="73"/>
      <c r="N136" s="73"/>
      <c r="O136" s="73"/>
    </row>
    <row r="137" spans="1:15" x14ac:dyDescent="0.2">
      <c r="I137" s="73"/>
      <c r="J137" s="73"/>
      <c r="K137" s="73"/>
      <c r="L137" s="73"/>
      <c r="M137" s="73"/>
      <c r="N137" s="73"/>
      <c r="O137" s="73"/>
    </row>
    <row r="138" spans="1:15" x14ac:dyDescent="0.2">
      <c r="I138" s="73"/>
      <c r="J138" s="73"/>
      <c r="K138" s="73"/>
      <c r="L138" s="73"/>
      <c r="M138" s="73"/>
      <c r="N138" s="73"/>
      <c r="O138" s="73"/>
    </row>
    <row r="139" spans="1:15" x14ac:dyDescent="0.2">
      <c r="I139" s="73"/>
      <c r="J139" s="73"/>
      <c r="K139" s="73"/>
      <c r="L139" s="73"/>
      <c r="M139" s="73"/>
      <c r="N139" s="73"/>
      <c r="O139" s="73"/>
    </row>
    <row r="140" spans="1:15" x14ac:dyDescent="0.2">
      <c r="I140" s="73"/>
      <c r="J140" s="73"/>
      <c r="K140" s="73"/>
      <c r="L140" s="73"/>
      <c r="M140" s="73"/>
      <c r="N140" s="73"/>
      <c r="O140" s="73"/>
    </row>
    <row r="141" spans="1:15" x14ac:dyDescent="0.2">
      <c r="I141" s="73"/>
      <c r="J141" s="73"/>
      <c r="K141" s="73"/>
      <c r="L141" s="73"/>
      <c r="M141" s="73"/>
      <c r="N141" s="73"/>
      <c r="O141" s="73"/>
    </row>
    <row r="142" spans="1:15" x14ac:dyDescent="0.2">
      <c r="A142" t="s">
        <v>24</v>
      </c>
      <c r="I142" s="73"/>
      <c r="J142" s="73"/>
      <c r="K142" s="73"/>
      <c r="L142" s="73"/>
      <c r="M142" s="73"/>
      <c r="N142" s="73"/>
      <c r="O142" s="73"/>
    </row>
    <row r="143" spans="1:15" x14ac:dyDescent="0.2">
      <c r="D143" s="5" t="s">
        <v>0</v>
      </c>
      <c r="I143" s="73"/>
      <c r="J143" s="73"/>
      <c r="K143" s="73"/>
      <c r="L143" s="73"/>
      <c r="M143" s="73"/>
      <c r="N143" s="73"/>
      <c r="O143" s="73"/>
    </row>
    <row r="144" spans="1:15" x14ac:dyDescent="0.2">
      <c r="I144" s="73"/>
      <c r="J144" s="73"/>
      <c r="K144" s="73"/>
      <c r="L144" s="73"/>
      <c r="M144" s="73"/>
      <c r="N144" s="73"/>
      <c r="O144" s="73"/>
    </row>
    <row r="145" spans="1:15" x14ac:dyDescent="0.2">
      <c r="I145" s="73"/>
      <c r="J145" s="73"/>
      <c r="K145" s="73"/>
      <c r="L145" s="73"/>
      <c r="M145" s="73"/>
      <c r="N145" s="73"/>
      <c r="O145" s="73"/>
    </row>
    <row r="146" spans="1:15" x14ac:dyDescent="0.2">
      <c r="I146" s="73"/>
      <c r="J146" s="73"/>
      <c r="K146" s="73"/>
      <c r="L146" s="73"/>
      <c r="M146" s="73"/>
      <c r="N146" s="73"/>
      <c r="O146" s="73"/>
    </row>
    <row r="147" spans="1:15" x14ac:dyDescent="0.2">
      <c r="I147" s="73"/>
      <c r="J147" s="73"/>
      <c r="K147" s="73"/>
      <c r="L147" s="73"/>
      <c r="M147" s="73"/>
      <c r="N147" s="73"/>
      <c r="O147" s="73"/>
    </row>
    <row r="148" spans="1:15" x14ac:dyDescent="0.2">
      <c r="I148" s="73"/>
      <c r="J148" s="73"/>
      <c r="K148" s="73"/>
      <c r="L148" s="73"/>
      <c r="M148" s="73"/>
      <c r="N148" s="73"/>
      <c r="O148" s="73"/>
    </row>
    <row r="149" spans="1:15" x14ac:dyDescent="0.2">
      <c r="I149" s="73"/>
      <c r="J149" s="73"/>
      <c r="K149" s="73"/>
      <c r="L149" s="73"/>
      <c r="M149" s="73"/>
      <c r="N149" s="73"/>
      <c r="O149" s="73"/>
    </row>
    <row r="150" spans="1:15" x14ac:dyDescent="0.2">
      <c r="I150" s="73"/>
      <c r="J150" s="73"/>
      <c r="K150" s="73"/>
      <c r="L150" s="73"/>
      <c r="M150" s="73"/>
      <c r="N150" s="73"/>
      <c r="O150" s="73"/>
    </row>
    <row r="151" spans="1:15" x14ac:dyDescent="0.2">
      <c r="I151" s="73"/>
      <c r="J151" s="73"/>
      <c r="K151" s="73"/>
      <c r="L151" s="73"/>
      <c r="M151" s="73"/>
      <c r="N151" s="73"/>
      <c r="O151" s="73"/>
    </row>
    <row r="152" spans="1:15" x14ac:dyDescent="0.2">
      <c r="I152" s="73"/>
      <c r="J152" s="73"/>
      <c r="K152" s="73"/>
      <c r="L152" s="73"/>
      <c r="M152" s="73"/>
      <c r="N152" s="73"/>
      <c r="O152" s="73"/>
    </row>
    <row r="153" spans="1:15" x14ac:dyDescent="0.2">
      <c r="I153" s="73"/>
      <c r="J153" s="73"/>
      <c r="K153" s="73"/>
      <c r="L153" s="73"/>
      <c r="M153" s="73"/>
      <c r="N153" s="73"/>
      <c r="O153" s="73"/>
    </row>
    <row r="154" spans="1:15" x14ac:dyDescent="0.2">
      <c r="I154" s="73"/>
      <c r="J154" s="73"/>
      <c r="K154" s="73"/>
      <c r="L154" s="73"/>
      <c r="M154" s="73"/>
      <c r="N154" s="73"/>
      <c r="O154" s="73"/>
    </row>
    <row r="155" spans="1:15" ht="13.5" thickBot="1" x14ac:dyDescent="0.25">
      <c r="A155" s="1" t="s">
        <v>165</v>
      </c>
      <c r="D155" s="5" t="s">
        <v>0</v>
      </c>
      <c r="I155" s="73"/>
      <c r="J155" s="73"/>
      <c r="K155" s="73"/>
      <c r="L155" s="73"/>
      <c r="M155" s="73"/>
      <c r="N155" s="73"/>
      <c r="O155" s="73"/>
    </row>
    <row r="156" spans="1:15" x14ac:dyDescent="0.2">
      <c r="C156" s="2" t="s">
        <v>150</v>
      </c>
      <c r="D156" s="53">
        <v>17.5</v>
      </c>
      <c r="E156" t="s">
        <v>41</v>
      </c>
      <c r="I156" s="73"/>
      <c r="J156" s="86"/>
      <c r="K156" s="73"/>
      <c r="L156" s="73"/>
      <c r="M156" s="73"/>
      <c r="N156" s="73"/>
      <c r="O156" s="73"/>
    </row>
    <row r="157" spans="1:15" x14ac:dyDescent="0.2">
      <c r="C157" s="2" t="s">
        <v>19</v>
      </c>
      <c r="D157" s="54">
        <v>21.6</v>
      </c>
      <c r="E157" t="s">
        <v>41</v>
      </c>
      <c r="G157" s="25" t="s">
        <v>73</v>
      </c>
      <c r="H157" s="25" t="s">
        <v>74</v>
      </c>
      <c r="I157" s="85"/>
      <c r="J157" s="86"/>
      <c r="K157" s="73"/>
      <c r="L157" s="73"/>
      <c r="M157" s="73"/>
      <c r="N157" s="73"/>
      <c r="O157" s="73"/>
    </row>
    <row r="158" spans="1:15" ht="15" thickBot="1" x14ac:dyDescent="0.25">
      <c r="C158" s="2" t="s">
        <v>18</v>
      </c>
      <c r="D158" s="54">
        <v>29</v>
      </c>
      <c r="E158" t="s">
        <v>41</v>
      </c>
      <c r="G158" s="21"/>
      <c r="H158" s="21" t="s">
        <v>85</v>
      </c>
      <c r="I158" s="85"/>
      <c r="J158" s="86"/>
      <c r="K158" s="73"/>
      <c r="L158" s="73"/>
      <c r="M158" s="73"/>
      <c r="N158" s="73"/>
      <c r="O158" s="73"/>
    </row>
    <row r="159" spans="1:15" ht="13.5" thickBot="1" x14ac:dyDescent="0.25">
      <c r="C159" s="2" t="s">
        <v>20</v>
      </c>
      <c r="D159" s="54">
        <v>58</v>
      </c>
      <c r="E159" t="s">
        <v>41</v>
      </c>
      <c r="G159" s="29" t="s">
        <v>75</v>
      </c>
      <c r="H159" s="51" t="s">
        <v>181</v>
      </c>
      <c r="I159" s="85"/>
      <c r="J159" s="86"/>
      <c r="K159" s="73"/>
      <c r="L159" s="73"/>
      <c r="M159" s="73"/>
      <c r="N159" s="73"/>
      <c r="O159" s="73"/>
    </row>
    <row r="160" spans="1:15" x14ac:dyDescent="0.2">
      <c r="C160" s="2" t="s">
        <v>140</v>
      </c>
      <c r="D160" s="13">
        <v>0.875</v>
      </c>
      <c r="E160" t="s">
        <v>4</v>
      </c>
      <c r="G160" t="s">
        <v>76</v>
      </c>
      <c r="H160" s="24">
        <v>17.5</v>
      </c>
      <c r="I160" s="85"/>
      <c r="J160" s="86"/>
      <c r="K160" s="73"/>
      <c r="L160" s="73"/>
      <c r="M160" s="73"/>
      <c r="N160" s="73"/>
      <c r="O160" s="73"/>
    </row>
    <row r="161" spans="3:15" x14ac:dyDescent="0.2">
      <c r="C161" s="2" t="s">
        <v>42</v>
      </c>
      <c r="D161" s="55">
        <v>1</v>
      </c>
      <c r="G161" t="s">
        <v>77</v>
      </c>
      <c r="H161" s="24">
        <v>22</v>
      </c>
      <c r="I161" s="88"/>
      <c r="J161" s="86"/>
      <c r="K161" s="73"/>
      <c r="L161" s="73"/>
      <c r="M161" s="73"/>
      <c r="N161" s="73"/>
      <c r="O161" s="73"/>
    </row>
    <row r="162" spans="3:15" x14ac:dyDescent="0.2">
      <c r="C162" s="2" t="s">
        <v>14</v>
      </c>
      <c r="D162" s="13">
        <v>0.5</v>
      </c>
      <c r="E162" t="s">
        <v>4</v>
      </c>
      <c r="H162" s="24"/>
      <c r="I162" s="85"/>
      <c r="J162" s="86"/>
      <c r="K162" s="73"/>
      <c r="L162" s="73"/>
      <c r="M162" s="73"/>
      <c r="N162" s="73"/>
      <c r="O162" s="73"/>
    </row>
    <row r="163" spans="3:15" ht="13.5" thickBot="1" x14ac:dyDescent="0.25">
      <c r="C163" s="2" t="s">
        <v>182</v>
      </c>
      <c r="D163" s="13">
        <v>0.375</v>
      </c>
      <c r="E163" t="s">
        <v>4</v>
      </c>
      <c r="G163" s="21" t="s">
        <v>78</v>
      </c>
      <c r="H163" s="51" t="s">
        <v>181</v>
      </c>
      <c r="I163" s="85"/>
      <c r="J163" s="86"/>
      <c r="K163" s="73"/>
      <c r="L163" s="73"/>
      <c r="M163" s="73"/>
      <c r="N163" s="73"/>
      <c r="O163" s="73"/>
    </row>
    <row r="164" spans="3:15" x14ac:dyDescent="0.2">
      <c r="C164" s="2" t="s">
        <v>1</v>
      </c>
      <c r="D164" s="22">
        <v>4</v>
      </c>
      <c r="E164" t="s">
        <v>4</v>
      </c>
      <c r="G164" t="s">
        <v>79</v>
      </c>
      <c r="H164" s="24">
        <v>10</v>
      </c>
      <c r="I164" s="88"/>
      <c r="J164" s="86"/>
      <c r="K164" s="73"/>
      <c r="L164" s="73"/>
      <c r="M164" s="73"/>
      <c r="N164" s="73"/>
      <c r="O164" s="73"/>
    </row>
    <row r="165" spans="3:15" ht="15" thickBot="1" x14ac:dyDescent="0.25">
      <c r="C165" s="2" t="s">
        <v>2</v>
      </c>
      <c r="D165" s="52">
        <v>2</v>
      </c>
      <c r="E165" t="s">
        <v>4</v>
      </c>
      <c r="G165" t="s">
        <v>80</v>
      </c>
      <c r="H165" s="24">
        <v>21</v>
      </c>
      <c r="I165" s="88"/>
      <c r="J165" s="86"/>
      <c r="K165" s="73"/>
      <c r="L165" s="73"/>
      <c r="M165" s="73"/>
      <c r="N165" s="73"/>
      <c r="O165" s="73"/>
    </row>
    <row r="166" spans="3:15" ht="14.25" x14ac:dyDescent="0.2">
      <c r="D166" s="5" t="s">
        <v>5</v>
      </c>
      <c r="G166" t="s">
        <v>81</v>
      </c>
      <c r="H166" s="24">
        <v>30</v>
      </c>
      <c r="I166" s="88"/>
      <c r="J166" s="86"/>
      <c r="K166" s="73"/>
      <c r="L166" s="73"/>
      <c r="M166" s="73"/>
      <c r="N166" s="73"/>
      <c r="O166" s="73"/>
    </row>
    <row r="167" spans="3:15" ht="14.25" x14ac:dyDescent="0.2">
      <c r="C167" s="9" t="s">
        <v>9</v>
      </c>
      <c r="D167" s="4" t="s">
        <v>193</v>
      </c>
      <c r="E167" s="1"/>
      <c r="G167" t="s">
        <v>82</v>
      </c>
      <c r="H167" s="24">
        <v>28</v>
      </c>
      <c r="I167" s="88"/>
      <c r="J167" s="86"/>
      <c r="K167" s="73"/>
      <c r="L167" s="73"/>
      <c r="M167" s="73"/>
      <c r="N167" s="73"/>
      <c r="O167" s="73"/>
    </row>
    <row r="168" spans="3:15" ht="14.25" x14ac:dyDescent="0.2">
      <c r="C168" s="7" t="s">
        <v>6</v>
      </c>
      <c r="D168" s="8">
        <f>D161*2*D156 * 3.1416 * D160^2 / 4</f>
        <v>21.046265625</v>
      </c>
      <c r="E168" s="1" t="s">
        <v>3</v>
      </c>
      <c r="G168" t="s">
        <v>90</v>
      </c>
      <c r="H168" s="24">
        <v>40</v>
      </c>
      <c r="I168" s="73"/>
      <c r="J168" s="87"/>
      <c r="K168" s="73"/>
      <c r="L168" s="73"/>
      <c r="M168" s="73"/>
      <c r="N168" s="73"/>
      <c r="O168" s="73"/>
    </row>
    <row r="169" spans="3:15" x14ac:dyDescent="0.2">
      <c r="C169" s="9" t="s">
        <v>21</v>
      </c>
      <c r="D169" s="4" t="s">
        <v>149</v>
      </c>
      <c r="E169" s="1"/>
      <c r="G169" t="s">
        <v>83</v>
      </c>
      <c r="H169" s="24">
        <v>17.5</v>
      </c>
      <c r="I169" s="73"/>
      <c r="J169" s="87"/>
      <c r="K169" s="73"/>
      <c r="L169" s="73"/>
      <c r="M169" s="73"/>
      <c r="N169" s="73"/>
      <c r="O169" s="73"/>
    </row>
    <row r="170" spans="3:15" ht="13.5" thickBot="1" x14ac:dyDescent="0.25">
      <c r="C170" s="7" t="s">
        <v>6</v>
      </c>
      <c r="D170" s="23">
        <f>D160+0.125</f>
        <v>1</v>
      </c>
      <c r="E170" s="1" t="s">
        <v>4</v>
      </c>
      <c r="G170" s="30" t="s">
        <v>84</v>
      </c>
      <c r="H170" s="27">
        <v>22</v>
      </c>
      <c r="I170" s="73"/>
      <c r="J170" s="87"/>
      <c r="K170" s="73"/>
      <c r="L170" s="73"/>
      <c r="M170" s="73"/>
      <c r="N170" s="73"/>
      <c r="O170" s="73"/>
    </row>
    <row r="171" spans="3:15" x14ac:dyDescent="0.2">
      <c r="C171" s="9" t="s">
        <v>15</v>
      </c>
      <c r="D171" s="4" t="s">
        <v>160</v>
      </c>
      <c r="I171" s="73"/>
      <c r="J171" s="87"/>
      <c r="K171" s="73"/>
      <c r="L171" s="73"/>
      <c r="M171" s="73"/>
      <c r="N171" s="73"/>
      <c r="O171" s="73"/>
    </row>
    <row r="172" spans="3:15" x14ac:dyDescent="0.2">
      <c r="C172" s="6" t="s">
        <v>6</v>
      </c>
      <c r="D172" s="8">
        <f>D157 *D162 * ( D164 - (D161*D170) )</f>
        <v>32.400000000000006</v>
      </c>
      <c r="E172" s="1" t="s">
        <v>3</v>
      </c>
      <c r="I172" s="73"/>
      <c r="J172" s="87"/>
      <c r="K172" s="73"/>
      <c r="L172" s="73"/>
      <c r="M172" s="73"/>
      <c r="N172" s="73"/>
      <c r="O172" s="73"/>
    </row>
    <row r="173" spans="3:15" x14ac:dyDescent="0.2">
      <c r="C173" s="9" t="s">
        <v>16</v>
      </c>
      <c r="D173" s="4" t="s">
        <v>161</v>
      </c>
      <c r="E173" s="1"/>
      <c r="I173" s="73"/>
      <c r="J173" s="88"/>
      <c r="K173" s="73"/>
      <c r="L173" s="73"/>
      <c r="M173" s="73"/>
      <c r="N173" s="73"/>
      <c r="O173" s="73"/>
    </row>
    <row r="174" spans="3:15" x14ac:dyDescent="0.2">
      <c r="C174" s="6" t="s">
        <v>6</v>
      </c>
      <c r="D174" s="8">
        <f>D161*2*D158 *D162 * D164</f>
        <v>116</v>
      </c>
      <c r="E174" s="1" t="s">
        <v>3</v>
      </c>
      <c r="I174" s="73"/>
      <c r="J174" s="89"/>
      <c r="K174" s="73"/>
      <c r="L174" s="73"/>
      <c r="M174" s="73"/>
      <c r="N174" s="73"/>
      <c r="O174" s="73"/>
    </row>
    <row r="175" spans="3:15" x14ac:dyDescent="0.2">
      <c r="C175" s="9" t="s">
        <v>17</v>
      </c>
      <c r="D175" s="4" t="s">
        <v>187</v>
      </c>
      <c r="E175" s="1"/>
      <c r="I175" s="73"/>
      <c r="J175" s="88"/>
      <c r="K175" s="73"/>
      <c r="L175" s="73"/>
      <c r="M175" s="73"/>
      <c r="N175" s="73"/>
      <c r="O175" s="73"/>
    </row>
    <row r="176" spans="3:15" x14ac:dyDescent="0.2">
      <c r="C176" s="7" t="s">
        <v>6</v>
      </c>
      <c r="D176" s="8">
        <f>D161*D159 *D162* D160</f>
        <v>25.375</v>
      </c>
      <c r="E176" s="1" t="s">
        <v>3</v>
      </c>
      <c r="I176" s="73"/>
      <c r="J176" s="88"/>
      <c r="K176" s="73"/>
      <c r="L176" s="73"/>
      <c r="M176" s="73"/>
      <c r="N176" s="73"/>
      <c r="O176" s="73"/>
    </row>
    <row r="177" spans="2:15" x14ac:dyDescent="0.2">
      <c r="C177" s="9" t="s">
        <v>88</v>
      </c>
      <c r="D177" s="4" t="s">
        <v>162</v>
      </c>
      <c r="I177" s="73"/>
      <c r="J177" s="86"/>
      <c r="K177" s="73"/>
      <c r="L177" s="73"/>
      <c r="M177" s="73"/>
      <c r="N177" s="73"/>
      <c r="O177" s="73"/>
    </row>
    <row r="178" spans="2:15" x14ac:dyDescent="0.2">
      <c r="C178" s="6" t="s">
        <v>6</v>
      </c>
      <c r="D178" s="8">
        <f>2 * D157 *D163 * ( D164 - (D161*D170 ))</f>
        <v>48.600000000000009</v>
      </c>
      <c r="E178" s="1" t="s">
        <v>3</v>
      </c>
      <c r="I178" s="73"/>
      <c r="J178" s="86"/>
      <c r="K178" s="73"/>
      <c r="L178" s="73"/>
      <c r="M178" s="73"/>
      <c r="N178" s="73"/>
      <c r="O178" s="73"/>
    </row>
    <row r="179" spans="2:15" x14ac:dyDescent="0.2">
      <c r="C179" s="9" t="s">
        <v>89</v>
      </c>
      <c r="D179" s="4" t="s">
        <v>163</v>
      </c>
      <c r="E179" s="1"/>
      <c r="I179" s="73"/>
      <c r="J179" s="88"/>
      <c r="K179" s="73"/>
      <c r="L179" s="73"/>
      <c r="M179" s="73"/>
      <c r="N179" s="73"/>
      <c r="O179" s="73"/>
    </row>
    <row r="180" spans="2:15" x14ac:dyDescent="0.2">
      <c r="C180" s="6" t="s">
        <v>6</v>
      </c>
      <c r="D180" s="8">
        <f>D161*4 * D158 * D163 * D165</f>
        <v>87</v>
      </c>
      <c r="E180" s="1" t="s">
        <v>3</v>
      </c>
      <c r="I180" s="90" t="s">
        <v>29</v>
      </c>
      <c r="J180" s="88"/>
      <c r="K180" s="73"/>
      <c r="L180" s="73"/>
      <c r="M180" s="73"/>
      <c r="N180" s="73"/>
      <c r="O180" s="73"/>
    </row>
    <row r="181" spans="2:15" x14ac:dyDescent="0.2">
      <c r="C181" s="9" t="s">
        <v>164</v>
      </c>
      <c r="D181" s="4" t="s">
        <v>186</v>
      </c>
      <c r="E181" s="1"/>
      <c r="I181" s="73"/>
      <c r="J181" s="73"/>
      <c r="K181" s="73"/>
      <c r="L181" s="73"/>
      <c r="M181" s="73"/>
      <c r="N181" s="73"/>
      <c r="O181" s="73"/>
    </row>
    <row r="182" spans="2:15" x14ac:dyDescent="0.2">
      <c r="C182" s="7" t="s">
        <v>6</v>
      </c>
      <c r="D182" s="8">
        <f>2 * D159 * D163 * D161*D160</f>
        <v>38.0625</v>
      </c>
      <c r="E182" s="1" t="s">
        <v>3</v>
      </c>
      <c r="I182" s="73" t="s">
        <v>29</v>
      </c>
      <c r="J182" s="73"/>
      <c r="K182" s="73"/>
      <c r="L182" s="73"/>
      <c r="M182" s="73"/>
      <c r="N182" s="73"/>
      <c r="O182" s="73"/>
    </row>
    <row r="183" spans="2:15" x14ac:dyDescent="0.2">
      <c r="C183" s="9" t="s">
        <v>28</v>
      </c>
      <c r="D183" s="4" t="s">
        <v>31</v>
      </c>
      <c r="I183" s="73"/>
      <c r="J183" s="73"/>
      <c r="K183" s="73"/>
      <c r="L183" s="73"/>
      <c r="M183" s="73"/>
      <c r="N183" s="73"/>
      <c r="O183" s="73"/>
    </row>
    <row r="184" spans="2:15" x14ac:dyDescent="0.2">
      <c r="C184" s="7" t="s">
        <v>6</v>
      </c>
      <c r="D184" s="8">
        <f>D157 *D162 * D164</f>
        <v>43.2</v>
      </c>
      <c r="E184" s="1" t="s">
        <v>3</v>
      </c>
      <c r="I184" s="73"/>
      <c r="J184" s="73"/>
      <c r="K184" s="73"/>
      <c r="L184" s="73"/>
      <c r="M184" s="73"/>
      <c r="N184" s="73"/>
      <c r="O184" s="73"/>
    </row>
    <row r="185" spans="2:15" ht="13.5" thickBot="1" x14ac:dyDescent="0.25">
      <c r="B185" s="11"/>
      <c r="D185" s="5" t="s">
        <v>0</v>
      </c>
      <c r="I185" s="73"/>
      <c r="J185" s="73"/>
      <c r="K185" s="73"/>
      <c r="L185" s="73"/>
      <c r="M185" s="73"/>
      <c r="N185" s="73"/>
      <c r="O185" s="73"/>
    </row>
    <row r="186" spans="2:15" x14ac:dyDescent="0.2">
      <c r="C186" s="10" t="s">
        <v>151</v>
      </c>
      <c r="D186" s="80">
        <v>16.2</v>
      </c>
      <c r="E186" s="11" t="s">
        <v>3</v>
      </c>
      <c r="I186" s="73"/>
      <c r="J186" s="73"/>
      <c r="K186" s="73"/>
      <c r="L186" s="73"/>
      <c r="M186" s="73"/>
      <c r="N186" s="73"/>
      <c r="O186" s="73"/>
    </row>
    <row r="187" spans="2:15" ht="13.5" thickBot="1" x14ac:dyDescent="0.25">
      <c r="C187" s="2" t="s">
        <v>25</v>
      </c>
      <c r="D187" s="71">
        <v>10</v>
      </c>
      <c r="E187" s="11" t="s">
        <v>3</v>
      </c>
      <c r="I187" s="73"/>
      <c r="J187" s="73"/>
      <c r="K187" s="73"/>
      <c r="L187" s="73"/>
      <c r="M187" s="73"/>
      <c r="N187" s="73"/>
      <c r="O187" s="73"/>
    </row>
    <row r="188" spans="2:15" x14ac:dyDescent="0.2">
      <c r="D188" s="5" t="s">
        <v>5</v>
      </c>
      <c r="I188" s="73"/>
      <c r="J188" s="73"/>
      <c r="K188" s="73"/>
      <c r="L188" s="73"/>
      <c r="M188" s="73"/>
      <c r="N188" s="73"/>
      <c r="O188" s="73"/>
    </row>
    <row r="189" spans="2:15" x14ac:dyDescent="0.2">
      <c r="C189" s="9" t="s">
        <v>13</v>
      </c>
      <c r="D189" s="4" t="s">
        <v>32</v>
      </c>
      <c r="I189" s="73"/>
      <c r="J189" s="73"/>
      <c r="K189" s="73"/>
      <c r="L189" s="73"/>
      <c r="M189" s="73"/>
      <c r="N189" s="73"/>
      <c r="O189" s="73"/>
    </row>
    <row r="190" spans="2:15" x14ac:dyDescent="0.2">
      <c r="C190" s="7" t="s">
        <v>6</v>
      </c>
      <c r="D190" s="12">
        <f>D186 / D184</f>
        <v>0.37499999999999994</v>
      </c>
      <c r="I190" s="73"/>
      <c r="J190" s="73"/>
      <c r="K190" s="73"/>
      <c r="L190" s="73"/>
      <c r="M190" s="73"/>
      <c r="N190" s="73"/>
      <c r="O190" s="73"/>
    </row>
    <row r="191" spans="2:15" x14ac:dyDescent="0.2">
      <c r="C191" s="9" t="s">
        <v>26</v>
      </c>
      <c r="D191" s="4" t="s">
        <v>27</v>
      </c>
      <c r="I191" s="73"/>
      <c r="J191" s="73"/>
      <c r="K191" s="73"/>
      <c r="L191" s="73"/>
      <c r="M191" s="73"/>
      <c r="N191" s="73"/>
      <c r="O191" s="73"/>
    </row>
    <row r="192" spans="2:15" x14ac:dyDescent="0.2">
      <c r="C192" s="7" t="s">
        <v>6</v>
      </c>
      <c r="D192" s="8">
        <f>D186/D187</f>
        <v>1.6199999999999999</v>
      </c>
      <c r="I192" s="73"/>
      <c r="J192" s="73"/>
      <c r="K192" s="73"/>
      <c r="L192" s="73"/>
      <c r="M192" s="73"/>
      <c r="N192" s="73"/>
      <c r="O192" s="73"/>
    </row>
    <row r="193" spans="9:15" x14ac:dyDescent="0.2">
      <c r="I193" s="73"/>
      <c r="J193" s="73"/>
      <c r="K193" s="73"/>
      <c r="L193" s="73"/>
      <c r="M193" s="73"/>
      <c r="N193" s="73"/>
      <c r="O193" s="73"/>
    </row>
    <row r="194" spans="9:15" x14ac:dyDescent="0.2">
      <c r="I194" s="73"/>
      <c r="J194" s="73"/>
      <c r="K194" s="73"/>
      <c r="L194" s="73"/>
      <c r="M194" s="73"/>
      <c r="N194" s="73"/>
      <c r="O194" s="73"/>
    </row>
    <row r="195" spans="9:15" x14ac:dyDescent="0.2">
      <c r="I195" s="73"/>
      <c r="J195" s="73"/>
      <c r="K195" s="73"/>
      <c r="L195" s="73"/>
      <c r="M195" s="73"/>
      <c r="N195" s="73"/>
      <c r="O195" s="73"/>
    </row>
    <row r="196" spans="9:15" x14ac:dyDescent="0.2">
      <c r="I196" s="73"/>
      <c r="J196" s="73"/>
      <c r="K196" s="73"/>
      <c r="L196" s="73"/>
      <c r="M196" s="73"/>
      <c r="N196" s="73"/>
      <c r="O196" s="73"/>
    </row>
    <row r="197" spans="9:15" x14ac:dyDescent="0.2">
      <c r="I197" s="73"/>
      <c r="J197" s="73"/>
      <c r="K197" s="73"/>
      <c r="L197" s="73"/>
      <c r="M197" s="73"/>
      <c r="N197" s="73"/>
      <c r="O197" s="73"/>
    </row>
    <row r="198" spans="9:15" x14ac:dyDescent="0.2">
      <c r="I198" s="73"/>
      <c r="J198" s="73"/>
      <c r="K198" s="73"/>
      <c r="L198" s="73"/>
      <c r="M198" s="73"/>
      <c r="N198" s="73"/>
      <c r="O198" s="73"/>
    </row>
    <row r="199" spans="9:15" x14ac:dyDescent="0.2">
      <c r="I199" s="73"/>
      <c r="J199" s="73"/>
      <c r="K199" s="73"/>
      <c r="L199" s="73"/>
      <c r="M199" s="73"/>
      <c r="N199" s="73"/>
      <c r="O199" s="73"/>
    </row>
    <row r="200" spans="9:15" x14ac:dyDescent="0.2">
      <c r="I200" s="73"/>
      <c r="J200" s="73"/>
      <c r="K200" s="73"/>
      <c r="L200" s="73"/>
      <c r="M200" s="73"/>
      <c r="N200" s="73"/>
      <c r="O200" s="73"/>
    </row>
    <row r="201" spans="9:15" x14ac:dyDescent="0.2">
      <c r="I201" s="73"/>
      <c r="J201" s="73"/>
      <c r="K201" s="73"/>
      <c r="L201" s="73"/>
      <c r="M201" s="73"/>
      <c r="N201" s="73"/>
      <c r="O201" s="73"/>
    </row>
    <row r="202" spans="9:15" x14ac:dyDescent="0.2">
      <c r="I202" s="73"/>
      <c r="J202" s="73"/>
      <c r="K202" s="73"/>
      <c r="L202" s="73"/>
      <c r="M202" s="73"/>
      <c r="N202" s="73"/>
      <c r="O202" s="73"/>
    </row>
    <row r="203" spans="9:15" x14ac:dyDescent="0.2">
      <c r="I203" s="73"/>
      <c r="J203" s="73"/>
      <c r="K203" s="73"/>
      <c r="L203" s="73"/>
      <c r="M203" s="73"/>
      <c r="N203" s="73"/>
      <c r="O203" s="73"/>
    </row>
    <row r="204" spans="9:15" x14ac:dyDescent="0.2">
      <c r="I204" s="73"/>
      <c r="J204" s="73"/>
      <c r="K204" s="73"/>
      <c r="L204" s="73"/>
      <c r="M204" s="73"/>
      <c r="N204" s="73"/>
      <c r="O204" s="73"/>
    </row>
    <row r="205" spans="9:15" x14ac:dyDescent="0.2">
      <c r="I205" s="73"/>
      <c r="J205" s="73"/>
      <c r="K205" s="73"/>
      <c r="L205" s="73"/>
      <c r="M205" s="73"/>
      <c r="N205" s="73"/>
      <c r="O205" s="73"/>
    </row>
    <row r="206" spans="9:15" x14ac:dyDescent="0.2">
      <c r="I206" s="73"/>
      <c r="J206" s="73"/>
      <c r="K206" s="73"/>
      <c r="L206" s="73"/>
      <c r="M206" s="73"/>
      <c r="N206" s="73"/>
      <c r="O206" s="73"/>
    </row>
    <row r="207" spans="9:15" x14ac:dyDescent="0.2">
      <c r="I207" s="73"/>
      <c r="J207" s="73"/>
      <c r="K207" s="73"/>
      <c r="L207" s="73"/>
      <c r="M207" s="73"/>
      <c r="N207" s="73"/>
      <c r="O207" s="73"/>
    </row>
    <row r="208" spans="9:15" x14ac:dyDescent="0.2">
      <c r="I208" s="73"/>
      <c r="J208" s="73"/>
      <c r="K208" s="73"/>
      <c r="L208" s="73"/>
      <c r="M208" s="73"/>
      <c r="N208" s="73"/>
      <c r="O208" s="73"/>
    </row>
    <row r="209" spans="9:15" x14ac:dyDescent="0.2">
      <c r="I209" s="73"/>
      <c r="J209" s="73"/>
      <c r="K209" s="73"/>
      <c r="L209" s="73"/>
      <c r="M209" s="73"/>
      <c r="N209" s="73"/>
      <c r="O209" s="73"/>
    </row>
    <row r="210" spans="9:15" x14ac:dyDescent="0.2">
      <c r="I210" s="73"/>
      <c r="J210" s="73"/>
      <c r="K210" s="73"/>
      <c r="L210" s="73"/>
      <c r="M210" s="73"/>
      <c r="N210" s="73"/>
      <c r="O210" s="73"/>
    </row>
    <row r="211" spans="9:15" x14ac:dyDescent="0.2">
      <c r="I211" s="73"/>
      <c r="J211" s="73"/>
      <c r="K211" s="73"/>
      <c r="L211" s="73"/>
      <c r="M211" s="73"/>
      <c r="N211" s="73"/>
      <c r="O211" s="73"/>
    </row>
    <row r="212" spans="9:15" x14ac:dyDescent="0.2">
      <c r="I212" s="73"/>
      <c r="J212" s="73"/>
      <c r="K212" s="73"/>
      <c r="L212" s="73"/>
      <c r="M212" s="73"/>
      <c r="N212" s="73"/>
      <c r="O212" s="73"/>
    </row>
    <row r="213" spans="9:15" x14ac:dyDescent="0.2">
      <c r="I213" s="73"/>
      <c r="J213" s="73"/>
      <c r="K213" s="73"/>
      <c r="L213" s="73"/>
      <c r="M213" s="73"/>
      <c r="N213" s="73"/>
      <c r="O213" s="73"/>
    </row>
    <row r="214" spans="9:15" x14ac:dyDescent="0.2">
      <c r="I214" s="73"/>
      <c r="J214" s="73"/>
      <c r="K214" s="73"/>
      <c r="L214" s="73"/>
      <c r="M214" s="73"/>
      <c r="N214" s="73"/>
      <c r="O214" s="73"/>
    </row>
    <row r="215" spans="9:15" x14ac:dyDescent="0.2">
      <c r="I215" s="73"/>
      <c r="J215" s="73"/>
      <c r="K215" s="73"/>
      <c r="L215" s="73"/>
      <c r="M215" s="73"/>
      <c r="N215" s="73"/>
      <c r="O215" s="73"/>
    </row>
    <row r="216" spans="9:15" x14ac:dyDescent="0.2">
      <c r="I216" s="73"/>
      <c r="J216" s="73"/>
      <c r="K216" s="73"/>
      <c r="L216" s="73"/>
      <c r="M216" s="73"/>
      <c r="N216" s="73"/>
      <c r="O216" s="73"/>
    </row>
    <row r="217" spans="9:15" x14ac:dyDescent="0.2">
      <c r="I217" s="73"/>
      <c r="J217" s="73"/>
      <c r="K217" s="73"/>
      <c r="L217" s="73"/>
      <c r="M217" s="73"/>
      <c r="N217" s="73"/>
      <c r="O217" s="73"/>
    </row>
    <row r="218" spans="9:15" x14ac:dyDescent="0.2">
      <c r="I218" s="73"/>
      <c r="J218" s="73"/>
      <c r="K218" s="73"/>
      <c r="L218" s="73"/>
      <c r="M218" s="73"/>
      <c r="N218" s="73"/>
      <c r="O218" s="73"/>
    </row>
    <row r="219" spans="9:15" x14ac:dyDescent="0.2">
      <c r="I219" s="73"/>
      <c r="J219" s="73"/>
      <c r="K219" s="73"/>
      <c r="L219" s="73"/>
      <c r="M219" s="73"/>
      <c r="N219" s="73"/>
      <c r="O219" s="73"/>
    </row>
    <row r="220" spans="9:15" x14ac:dyDescent="0.2">
      <c r="I220" s="73"/>
      <c r="J220" s="73"/>
      <c r="K220" s="73"/>
      <c r="L220" s="73"/>
      <c r="M220" s="73"/>
      <c r="N220" s="73"/>
      <c r="O220" s="73"/>
    </row>
    <row r="221" spans="9:15" x14ac:dyDescent="0.2">
      <c r="I221" s="73"/>
      <c r="J221" s="73"/>
      <c r="K221" s="73"/>
      <c r="L221" s="73"/>
      <c r="M221" s="73"/>
      <c r="N221" s="73"/>
      <c r="O221" s="73"/>
    </row>
    <row r="222" spans="9:15" x14ac:dyDescent="0.2">
      <c r="I222" s="73"/>
      <c r="J222" s="73"/>
      <c r="K222" s="73"/>
      <c r="L222" s="73"/>
      <c r="M222" s="73"/>
      <c r="N222" s="73"/>
      <c r="O222" s="73"/>
    </row>
    <row r="223" spans="9:15" x14ac:dyDescent="0.2">
      <c r="I223" s="73"/>
      <c r="J223" s="73"/>
      <c r="K223" s="73"/>
      <c r="L223" s="73"/>
      <c r="M223" s="73"/>
      <c r="N223" s="73"/>
      <c r="O223" s="73"/>
    </row>
    <row r="224" spans="9:15" x14ac:dyDescent="0.2">
      <c r="I224" s="73"/>
      <c r="J224" s="73"/>
      <c r="K224" s="73"/>
      <c r="L224" s="73"/>
      <c r="M224" s="73"/>
      <c r="N224" s="73"/>
      <c r="O224" s="73"/>
    </row>
    <row r="225" spans="9:15" x14ac:dyDescent="0.2">
      <c r="I225" s="73"/>
      <c r="J225" s="73"/>
      <c r="K225" s="73"/>
      <c r="L225" s="73"/>
      <c r="M225" s="73"/>
      <c r="N225" s="73"/>
      <c r="O225" s="73"/>
    </row>
    <row r="226" spans="9:15" x14ac:dyDescent="0.2">
      <c r="I226" s="73"/>
      <c r="J226" s="73"/>
      <c r="K226" s="73"/>
      <c r="L226" s="73"/>
      <c r="M226" s="73"/>
      <c r="N226" s="73"/>
      <c r="O226" s="73"/>
    </row>
    <row r="227" spans="9:15" x14ac:dyDescent="0.2">
      <c r="I227" s="73"/>
      <c r="J227" s="73"/>
      <c r="K227" s="73"/>
      <c r="L227" s="73"/>
      <c r="M227" s="73"/>
      <c r="N227" s="73"/>
      <c r="O227" s="73"/>
    </row>
    <row r="228" spans="9:15" x14ac:dyDescent="0.2">
      <c r="I228" s="73"/>
      <c r="J228" s="73"/>
      <c r="K228" s="73"/>
      <c r="L228" s="73"/>
      <c r="M228" s="73"/>
      <c r="N228" s="73"/>
      <c r="O228" s="73"/>
    </row>
    <row r="229" spans="9:15" x14ac:dyDescent="0.2">
      <c r="I229" s="73"/>
      <c r="J229" s="73"/>
      <c r="K229" s="73"/>
      <c r="L229" s="73"/>
      <c r="M229" s="73"/>
      <c r="N229" s="73"/>
      <c r="O229" s="73"/>
    </row>
    <row r="230" spans="9:15" x14ac:dyDescent="0.2">
      <c r="I230" s="73"/>
      <c r="J230" s="73"/>
      <c r="K230" s="73"/>
      <c r="L230" s="73"/>
      <c r="M230" s="73"/>
      <c r="N230" s="73"/>
      <c r="O230" s="73"/>
    </row>
    <row r="231" spans="9:15" x14ac:dyDescent="0.2">
      <c r="I231" s="73"/>
      <c r="J231" s="73"/>
      <c r="K231" s="73"/>
      <c r="L231" s="73"/>
      <c r="M231" s="73"/>
      <c r="N231" s="73"/>
      <c r="O231" s="73"/>
    </row>
    <row r="232" spans="9:15" x14ac:dyDescent="0.2">
      <c r="I232" s="73"/>
      <c r="J232" s="73"/>
      <c r="K232" s="73"/>
      <c r="L232" s="73"/>
      <c r="M232" s="73"/>
      <c r="N232" s="73"/>
      <c r="O232" s="73"/>
    </row>
    <row r="233" spans="9:15" x14ac:dyDescent="0.2">
      <c r="I233" s="73"/>
      <c r="J233" s="73"/>
      <c r="K233" s="73"/>
      <c r="L233" s="73"/>
      <c r="M233" s="73"/>
      <c r="N233" s="73"/>
      <c r="O233" s="73"/>
    </row>
    <row r="234" spans="9:15" x14ac:dyDescent="0.2">
      <c r="I234" s="73"/>
      <c r="J234" s="73"/>
      <c r="K234" s="73"/>
      <c r="L234" s="91"/>
      <c r="M234" s="85"/>
      <c r="N234" s="73"/>
      <c r="O234" s="73"/>
    </row>
    <row r="235" spans="9:15" x14ac:dyDescent="0.2">
      <c r="I235" s="73"/>
      <c r="J235" s="73"/>
      <c r="K235" s="73"/>
      <c r="L235" s="73"/>
      <c r="M235" s="73"/>
      <c r="N235" s="73"/>
      <c r="O235" s="73"/>
    </row>
    <row r="236" spans="9:15" x14ac:dyDescent="0.2">
      <c r="I236" s="73"/>
      <c r="J236" s="73"/>
      <c r="K236" s="73"/>
      <c r="L236" s="73"/>
      <c r="M236" s="73"/>
      <c r="N236" s="73"/>
      <c r="O236" s="73"/>
    </row>
    <row r="237" spans="9:15" x14ac:dyDescent="0.2">
      <c r="I237" s="73"/>
      <c r="J237" s="73"/>
      <c r="K237" s="73"/>
      <c r="L237" s="73"/>
      <c r="M237" s="73"/>
      <c r="N237" s="73"/>
      <c r="O237" s="73"/>
    </row>
    <row r="238" spans="9:15" x14ac:dyDescent="0.2">
      <c r="I238" s="73"/>
      <c r="J238" s="73"/>
      <c r="K238" s="73"/>
      <c r="L238" s="73"/>
      <c r="M238" s="73"/>
      <c r="N238" s="73"/>
      <c r="O238" s="73"/>
    </row>
    <row r="239" spans="9:15" x14ac:dyDescent="0.2">
      <c r="I239" s="73"/>
      <c r="J239" s="73"/>
      <c r="K239" s="73"/>
      <c r="L239" s="73"/>
      <c r="M239" s="73"/>
      <c r="N239" s="73"/>
      <c r="O239" s="73"/>
    </row>
    <row r="240" spans="9:15" x14ac:dyDescent="0.2">
      <c r="I240" s="73"/>
      <c r="J240" s="73"/>
      <c r="K240" s="73"/>
      <c r="L240" s="73"/>
      <c r="M240" s="73"/>
      <c r="N240" s="73"/>
      <c r="O240" s="73"/>
    </row>
    <row r="241" spans="9:15" x14ac:dyDescent="0.2">
      <c r="I241" s="73"/>
      <c r="J241" s="73"/>
      <c r="K241" s="73"/>
      <c r="L241" s="73"/>
      <c r="M241" s="73"/>
      <c r="N241" s="73"/>
      <c r="O241" s="73"/>
    </row>
    <row r="242" spans="9:15" x14ac:dyDescent="0.2">
      <c r="I242" s="73"/>
      <c r="J242" s="73"/>
      <c r="K242" s="73"/>
      <c r="L242" s="73"/>
      <c r="M242" s="73"/>
      <c r="N242" s="73"/>
      <c r="O242" s="73"/>
    </row>
    <row r="243" spans="9:15" x14ac:dyDescent="0.2">
      <c r="I243" s="73"/>
      <c r="J243" s="73"/>
      <c r="K243" s="73"/>
      <c r="L243" s="73"/>
      <c r="M243" s="73"/>
      <c r="N243" s="73"/>
      <c r="O243" s="73"/>
    </row>
    <row r="244" spans="9:15" x14ac:dyDescent="0.2">
      <c r="I244" s="73"/>
      <c r="J244" s="73"/>
      <c r="K244" s="73"/>
      <c r="L244" s="73"/>
      <c r="M244" s="73"/>
      <c r="N244" s="73"/>
      <c r="O244" s="73"/>
    </row>
    <row r="245" spans="9:15" x14ac:dyDescent="0.2">
      <c r="I245" s="73"/>
      <c r="J245" s="73"/>
      <c r="K245" s="73"/>
      <c r="L245" s="73"/>
      <c r="M245" s="73"/>
      <c r="N245" s="73"/>
      <c r="O245" s="73"/>
    </row>
    <row r="246" spans="9:15" x14ac:dyDescent="0.2">
      <c r="I246" s="73"/>
      <c r="J246" s="73"/>
      <c r="K246" s="73"/>
      <c r="L246" s="73"/>
      <c r="M246" s="73"/>
      <c r="N246" s="73"/>
      <c r="O246" s="73"/>
    </row>
    <row r="247" spans="9:15" x14ac:dyDescent="0.2">
      <c r="I247" s="73"/>
      <c r="J247" s="73"/>
      <c r="K247" s="73"/>
      <c r="L247" s="73"/>
      <c r="M247" s="73"/>
      <c r="N247" s="73"/>
      <c r="O247" s="73"/>
    </row>
    <row r="248" spans="9:15" x14ac:dyDescent="0.2">
      <c r="I248" s="73"/>
      <c r="J248" s="73"/>
      <c r="K248" s="73"/>
      <c r="L248" s="73"/>
      <c r="M248" s="73"/>
      <c r="N248" s="73"/>
      <c r="O248" s="73"/>
    </row>
    <row r="249" spans="9:15" x14ac:dyDescent="0.2">
      <c r="I249" s="73"/>
      <c r="J249" s="73"/>
      <c r="K249" s="73"/>
      <c r="L249" s="73"/>
      <c r="M249" s="73"/>
      <c r="N249" s="73"/>
      <c r="O249" s="73"/>
    </row>
    <row r="250" spans="9:15" x14ac:dyDescent="0.2">
      <c r="I250" s="73"/>
      <c r="J250" s="73"/>
      <c r="K250" s="73"/>
      <c r="L250" s="73"/>
      <c r="M250" s="73"/>
      <c r="N250" s="73"/>
      <c r="O250" s="73"/>
    </row>
    <row r="251" spans="9:15" x14ac:dyDescent="0.2">
      <c r="I251" s="73"/>
      <c r="J251" s="73"/>
      <c r="K251" s="73"/>
      <c r="L251" s="73"/>
      <c r="M251" s="73"/>
      <c r="N251" s="73"/>
      <c r="O251" s="73"/>
    </row>
    <row r="252" spans="9:15" x14ac:dyDescent="0.2">
      <c r="I252" s="73"/>
      <c r="J252" s="73"/>
      <c r="K252" s="73"/>
      <c r="L252" s="73"/>
      <c r="M252" s="73"/>
      <c r="N252" s="73"/>
      <c r="O252" s="73"/>
    </row>
    <row r="253" spans="9:15" x14ac:dyDescent="0.2">
      <c r="I253" s="73"/>
      <c r="J253" s="73"/>
      <c r="K253" s="73"/>
      <c r="L253" s="73"/>
      <c r="M253" s="73"/>
      <c r="N253" s="73"/>
      <c r="O253" s="73"/>
    </row>
    <row r="254" spans="9:15" x14ac:dyDescent="0.2">
      <c r="I254" s="73"/>
      <c r="J254" s="73"/>
      <c r="K254" s="73"/>
      <c r="L254" s="73"/>
      <c r="M254" s="73"/>
      <c r="N254" s="73"/>
      <c r="O254" s="73"/>
    </row>
    <row r="255" spans="9:15" x14ac:dyDescent="0.2">
      <c r="I255" s="73"/>
      <c r="J255" s="73"/>
      <c r="K255" s="73"/>
      <c r="L255" s="73"/>
      <c r="M255" s="73"/>
      <c r="N255" s="73"/>
      <c r="O255" s="73"/>
    </row>
    <row r="256" spans="9:15" x14ac:dyDescent="0.2">
      <c r="I256" s="73"/>
      <c r="J256" s="73"/>
      <c r="K256" s="73"/>
      <c r="L256" s="73"/>
      <c r="M256" s="73"/>
      <c r="N256" s="73"/>
      <c r="O256" s="73"/>
    </row>
    <row r="257" spans="9:15" x14ac:dyDescent="0.2">
      <c r="I257" s="73"/>
      <c r="J257" s="73"/>
      <c r="K257" s="73"/>
      <c r="L257" s="73"/>
      <c r="M257" s="73"/>
      <c r="N257" s="73"/>
      <c r="O257" s="73"/>
    </row>
    <row r="258" spans="9:15" x14ac:dyDescent="0.2">
      <c r="I258" s="73"/>
      <c r="J258" s="73"/>
      <c r="K258" s="73"/>
      <c r="L258" s="73"/>
      <c r="M258" s="73"/>
      <c r="N258" s="73"/>
      <c r="O258" s="73"/>
    </row>
    <row r="259" spans="9:15" x14ac:dyDescent="0.2">
      <c r="I259" s="75"/>
      <c r="J259" s="73"/>
      <c r="K259" s="73"/>
      <c r="L259" s="73"/>
      <c r="M259" s="73"/>
      <c r="N259" s="73"/>
      <c r="O259" s="73"/>
    </row>
    <row r="260" spans="9:15" x14ac:dyDescent="0.2">
      <c r="I260" s="73"/>
      <c r="J260" s="73"/>
      <c r="K260" s="73"/>
      <c r="L260" s="73"/>
      <c r="M260" s="73"/>
      <c r="N260" s="73"/>
      <c r="O260" s="73"/>
    </row>
    <row r="261" spans="9:15" x14ac:dyDescent="0.2">
      <c r="I261" s="73"/>
      <c r="J261" s="73"/>
      <c r="K261" s="73"/>
      <c r="L261" s="73"/>
      <c r="M261" s="73"/>
      <c r="N261" s="73"/>
      <c r="O261" s="73"/>
    </row>
    <row r="262" spans="9:15" x14ac:dyDescent="0.2">
      <c r="I262" s="73"/>
      <c r="J262" s="73"/>
      <c r="K262" s="73"/>
      <c r="L262" s="73"/>
      <c r="M262" s="73"/>
      <c r="N262" s="73"/>
      <c r="O262" s="73"/>
    </row>
    <row r="263" spans="9:15" x14ac:dyDescent="0.2">
      <c r="I263" s="73"/>
      <c r="J263" s="73"/>
      <c r="K263" s="73"/>
      <c r="L263" s="73"/>
      <c r="M263" s="73"/>
      <c r="N263" s="73"/>
      <c r="O263" s="73"/>
    </row>
    <row r="264" spans="9:15" x14ac:dyDescent="0.2">
      <c r="I264" s="73"/>
      <c r="J264" s="73"/>
      <c r="K264" s="73"/>
      <c r="L264" s="73"/>
      <c r="M264" s="73"/>
      <c r="N264" s="73"/>
      <c r="O264" s="73"/>
    </row>
    <row r="265" spans="9:15" x14ac:dyDescent="0.2">
      <c r="I265" s="73"/>
      <c r="J265" s="73"/>
      <c r="K265" s="73"/>
      <c r="L265" s="73"/>
      <c r="M265" s="73"/>
      <c r="N265" s="73"/>
      <c r="O265" s="73"/>
    </row>
    <row r="266" spans="9:15" x14ac:dyDescent="0.2">
      <c r="I266" s="73"/>
      <c r="J266" s="73"/>
      <c r="K266" s="73"/>
      <c r="L266" s="73"/>
      <c r="M266" s="73"/>
      <c r="N266" s="73"/>
      <c r="O266" s="73"/>
    </row>
    <row r="267" spans="9:15" x14ac:dyDescent="0.2">
      <c r="I267" s="73"/>
      <c r="J267" s="73"/>
      <c r="K267" s="73"/>
      <c r="L267" s="73"/>
      <c r="M267" s="73"/>
      <c r="N267" s="73"/>
      <c r="O267" s="73"/>
    </row>
    <row r="268" spans="9:15" x14ac:dyDescent="0.2">
      <c r="I268" s="73"/>
      <c r="J268" s="73"/>
      <c r="K268" s="73"/>
      <c r="L268" s="73"/>
      <c r="M268" s="73"/>
      <c r="N268" s="73"/>
      <c r="O268" s="73"/>
    </row>
    <row r="269" spans="9:15" x14ac:dyDescent="0.2">
      <c r="I269" s="73"/>
      <c r="J269" s="73"/>
      <c r="K269" s="73"/>
      <c r="L269" s="73"/>
      <c r="M269" s="73"/>
      <c r="N269" s="73"/>
      <c r="O269" s="73"/>
    </row>
    <row r="270" spans="9:15" x14ac:dyDescent="0.2">
      <c r="I270" s="73"/>
      <c r="J270" s="73"/>
      <c r="K270" s="73"/>
      <c r="L270" s="73"/>
      <c r="M270" s="73"/>
      <c r="N270" s="73"/>
      <c r="O270" s="73"/>
    </row>
    <row r="271" spans="9:15" x14ac:dyDescent="0.2">
      <c r="I271" s="73"/>
      <c r="J271" s="73"/>
      <c r="K271" s="73"/>
      <c r="L271" s="73"/>
      <c r="M271" s="73"/>
      <c r="N271" s="73"/>
      <c r="O271" s="73"/>
    </row>
    <row r="272" spans="9:15" x14ac:dyDescent="0.2">
      <c r="I272" s="73"/>
      <c r="J272" s="73"/>
      <c r="K272" s="73"/>
      <c r="L272" s="73"/>
      <c r="M272" s="73"/>
      <c r="N272" s="73"/>
      <c r="O272" s="73"/>
    </row>
    <row r="273" spans="9:15" x14ac:dyDescent="0.2">
      <c r="I273" s="73"/>
      <c r="J273" s="73"/>
      <c r="K273" s="73"/>
      <c r="L273" s="73"/>
      <c r="M273" s="73"/>
      <c r="N273" s="73"/>
      <c r="O273" s="73"/>
    </row>
    <row r="274" spans="9:15" x14ac:dyDescent="0.2">
      <c r="I274" s="73"/>
      <c r="J274" s="73"/>
      <c r="K274" s="73"/>
      <c r="L274" s="73"/>
      <c r="M274" s="73"/>
      <c r="N274" s="73"/>
      <c r="O274" s="73"/>
    </row>
    <row r="275" spans="9:15" x14ac:dyDescent="0.2">
      <c r="I275" s="73"/>
      <c r="J275" s="73"/>
      <c r="K275" s="73"/>
      <c r="L275" s="73"/>
      <c r="M275" s="73"/>
      <c r="N275" s="73"/>
      <c r="O275" s="73"/>
    </row>
    <row r="276" spans="9:15" x14ac:dyDescent="0.2">
      <c r="I276" s="73"/>
      <c r="J276" s="73"/>
      <c r="K276" s="73"/>
      <c r="L276" s="73"/>
      <c r="M276" s="73"/>
      <c r="N276" s="73"/>
      <c r="O276" s="73"/>
    </row>
    <row r="277" spans="9:15" x14ac:dyDescent="0.2">
      <c r="I277" s="73"/>
      <c r="J277" s="73"/>
      <c r="K277" s="73"/>
      <c r="L277" s="73"/>
      <c r="M277" s="73"/>
      <c r="N277" s="73"/>
      <c r="O277" s="73"/>
    </row>
    <row r="278" spans="9:15" x14ac:dyDescent="0.2">
      <c r="I278" s="73"/>
      <c r="J278" s="73"/>
      <c r="K278" s="73"/>
      <c r="L278" s="73"/>
      <c r="M278" s="73"/>
      <c r="N278" s="73"/>
      <c r="O278" s="73"/>
    </row>
    <row r="279" spans="9:15" x14ac:dyDescent="0.2">
      <c r="I279" s="73"/>
      <c r="J279" s="73"/>
      <c r="K279" s="73"/>
      <c r="L279" s="73"/>
      <c r="M279" s="73"/>
      <c r="N279" s="73"/>
      <c r="O279" s="73"/>
    </row>
    <row r="280" spans="9:15" x14ac:dyDescent="0.2">
      <c r="I280" s="73"/>
      <c r="J280" s="73"/>
      <c r="K280" s="73"/>
      <c r="L280" s="73"/>
      <c r="M280" s="73"/>
      <c r="N280" s="73"/>
      <c r="O280" s="73"/>
    </row>
    <row r="281" spans="9:15" x14ac:dyDescent="0.2">
      <c r="I281" s="73"/>
      <c r="J281" s="73"/>
      <c r="K281" s="73"/>
      <c r="L281" s="73"/>
      <c r="M281" s="73"/>
      <c r="N281" s="73"/>
      <c r="O281" s="73"/>
    </row>
    <row r="282" spans="9:15" x14ac:dyDescent="0.2">
      <c r="I282" s="73"/>
      <c r="J282" s="73"/>
      <c r="K282" s="73"/>
      <c r="L282" s="73"/>
      <c r="M282" s="73"/>
      <c r="N282" s="73"/>
      <c r="O282" s="73"/>
    </row>
    <row r="283" spans="9:15" x14ac:dyDescent="0.2">
      <c r="I283" s="73"/>
      <c r="J283" s="73"/>
      <c r="K283" s="73"/>
      <c r="L283" s="73"/>
      <c r="M283" s="73"/>
      <c r="N283" s="73"/>
      <c r="O283" s="73"/>
    </row>
    <row r="284" spans="9:15" x14ac:dyDescent="0.2">
      <c r="I284" s="73"/>
      <c r="J284" s="73"/>
      <c r="K284" s="73"/>
      <c r="L284" s="73"/>
      <c r="M284" s="73"/>
      <c r="N284" s="73"/>
      <c r="O284" s="73"/>
    </row>
    <row r="285" spans="9:15" x14ac:dyDescent="0.2">
      <c r="I285" s="73"/>
      <c r="J285" s="73"/>
      <c r="K285" s="73"/>
      <c r="L285" s="73"/>
      <c r="M285" s="73"/>
      <c r="N285" s="73"/>
      <c r="O285" s="73"/>
    </row>
    <row r="286" spans="9:15" x14ac:dyDescent="0.2">
      <c r="I286" s="73"/>
      <c r="J286" s="73"/>
      <c r="K286" s="73"/>
      <c r="L286" s="73"/>
      <c r="M286" s="73"/>
      <c r="N286" s="73"/>
      <c r="O286" s="73"/>
    </row>
    <row r="287" spans="9:15" x14ac:dyDescent="0.2">
      <c r="I287" s="73"/>
      <c r="J287" s="73"/>
      <c r="K287" s="73"/>
      <c r="L287" s="73"/>
      <c r="M287" s="73"/>
      <c r="N287" s="73"/>
      <c r="O287" s="73"/>
    </row>
    <row r="288" spans="9:15" x14ac:dyDescent="0.2">
      <c r="I288" s="73"/>
      <c r="J288" s="73"/>
      <c r="K288" s="73"/>
      <c r="L288" s="73"/>
      <c r="M288" s="73"/>
      <c r="N288" s="73"/>
      <c r="O288" s="73"/>
    </row>
    <row r="289" spans="9:15" x14ac:dyDescent="0.2">
      <c r="I289" s="73"/>
      <c r="J289" s="73"/>
      <c r="K289" s="73"/>
      <c r="L289" s="73"/>
      <c r="M289" s="73"/>
      <c r="N289" s="73"/>
      <c r="O289" s="73"/>
    </row>
    <row r="290" spans="9:15" x14ac:dyDescent="0.2">
      <c r="I290" s="73"/>
      <c r="J290" s="73"/>
      <c r="K290" s="73"/>
      <c r="L290" s="73"/>
      <c r="M290" s="73"/>
      <c r="N290" s="73"/>
      <c r="O290" s="73"/>
    </row>
    <row r="291" spans="9:15" x14ac:dyDescent="0.2">
      <c r="I291" s="73"/>
      <c r="J291" s="73"/>
      <c r="K291" s="73"/>
      <c r="L291" s="73"/>
      <c r="M291" s="73"/>
      <c r="N291" s="73"/>
      <c r="O291" s="73"/>
    </row>
    <row r="292" spans="9:15" x14ac:dyDescent="0.2">
      <c r="I292" s="73"/>
      <c r="J292" s="73"/>
      <c r="K292" s="73"/>
      <c r="L292" s="73"/>
      <c r="M292" s="73"/>
      <c r="N292" s="73"/>
      <c r="O292" s="73"/>
    </row>
    <row r="293" spans="9:15" x14ac:dyDescent="0.2">
      <c r="I293" s="73"/>
      <c r="J293" s="73"/>
      <c r="K293" s="73"/>
      <c r="L293" s="73"/>
      <c r="M293" s="73"/>
      <c r="N293" s="73"/>
      <c r="O293" s="73"/>
    </row>
    <row r="294" spans="9:15" x14ac:dyDescent="0.2">
      <c r="I294" s="73"/>
      <c r="J294" s="73"/>
      <c r="K294" s="73"/>
      <c r="L294" s="73"/>
      <c r="M294" s="73"/>
      <c r="N294" s="73"/>
      <c r="O294" s="73"/>
    </row>
    <row r="295" spans="9:15" x14ac:dyDescent="0.2">
      <c r="I295" s="73"/>
      <c r="J295" s="73"/>
      <c r="K295" s="73"/>
      <c r="L295" s="73"/>
      <c r="M295" s="73"/>
      <c r="N295" s="73"/>
      <c r="O295" s="73"/>
    </row>
    <row r="296" spans="9:15" x14ac:dyDescent="0.2">
      <c r="I296" s="73"/>
      <c r="J296" s="73"/>
      <c r="K296" s="73"/>
      <c r="L296" s="73"/>
      <c r="M296" s="73"/>
      <c r="N296" s="73"/>
      <c r="O296" s="73"/>
    </row>
    <row r="297" spans="9:15" x14ac:dyDescent="0.2">
      <c r="I297" s="73"/>
      <c r="J297" s="73"/>
      <c r="K297" s="73"/>
      <c r="L297" s="73"/>
      <c r="M297" s="73"/>
      <c r="N297" s="73"/>
      <c r="O297" s="73"/>
    </row>
    <row r="298" spans="9:15" x14ac:dyDescent="0.2">
      <c r="I298" s="73"/>
      <c r="J298" s="73"/>
      <c r="K298" s="73"/>
      <c r="L298" s="73"/>
      <c r="M298" s="73"/>
      <c r="N298" s="73"/>
      <c r="O298" s="73"/>
    </row>
    <row r="299" spans="9:15" x14ac:dyDescent="0.2">
      <c r="I299" s="73"/>
      <c r="J299" s="73"/>
      <c r="K299" s="73"/>
      <c r="L299" s="73"/>
      <c r="M299" s="73"/>
      <c r="N299" s="73"/>
      <c r="O299" s="73"/>
    </row>
    <row r="300" spans="9:15" x14ac:dyDescent="0.2">
      <c r="I300" s="73"/>
      <c r="J300" s="73"/>
      <c r="K300" s="73"/>
      <c r="L300" s="73"/>
      <c r="M300" s="73"/>
      <c r="N300" s="73"/>
      <c r="O300" s="73"/>
    </row>
    <row r="301" spans="9:15" x14ac:dyDescent="0.2">
      <c r="I301" s="73"/>
      <c r="J301" s="73"/>
      <c r="K301" s="73"/>
      <c r="L301" s="73"/>
      <c r="M301" s="73"/>
      <c r="N301" s="73"/>
      <c r="O301" s="73"/>
    </row>
    <row r="302" spans="9:15" x14ac:dyDescent="0.2">
      <c r="I302" s="73"/>
      <c r="J302" s="73"/>
      <c r="K302" s="73"/>
      <c r="L302" s="73"/>
      <c r="M302" s="73"/>
      <c r="N302" s="73"/>
      <c r="O302" s="73"/>
    </row>
    <row r="303" spans="9:15" x14ac:dyDescent="0.2">
      <c r="I303" s="73"/>
      <c r="J303" s="73"/>
      <c r="K303" s="73"/>
      <c r="L303" s="73"/>
      <c r="M303" s="73"/>
      <c r="N303" s="73"/>
      <c r="O303" s="73"/>
    </row>
    <row r="304" spans="9:15" x14ac:dyDescent="0.2">
      <c r="I304" s="73"/>
      <c r="J304" s="73"/>
      <c r="K304" s="73"/>
      <c r="L304" s="73"/>
      <c r="M304" s="73"/>
      <c r="N304" s="73"/>
      <c r="O304" s="73"/>
    </row>
    <row r="305" spans="9:15" x14ac:dyDescent="0.2">
      <c r="I305" s="73"/>
      <c r="J305" s="73"/>
      <c r="K305" s="73"/>
      <c r="L305" s="73"/>
      <c r="M305" s="73"/>
      <c r="N305" s="73"/>
      <c r="O305" s="73"/>
    </row>
    <row r="306" spans="9:15" x14ac:dyDescent="0.2">
      <c r="I306" s="73"/>
      <c r="J306" s="73"/>
      <c r="K306" s="73"/>
      <c r="L306" s="73"/>
      <c r="M306" s="73"/>
      <c r="N306" s="73"/>
      <c r="O306" s="73"/>
    </row>
    <row r="307" spans="9:15" x14ac:dyDescent="0.2">
      <c r="I307" s="73"/>
      <c r="J307" s="73"/>
      <c r="K307" s="73"/>
      <c r="L307" s="73"/>
      <c r="M307" s="73"/>
      <c r="N307" s="73"/>
      <c r="O307" s="73"/>
    </row>
    <row r="308" spans="9:15" x14ac:dyDescent="0.2">
      <c r="I308" s="73"/>
      <c r="J308" s="73"/>
      <c r="K308" s="73"/>
      <c r="L308" s="73"/>
      <c r="M308" s="73"/>
      <c r="N308" s="73"/>
      <c r="O308" s="73"/>
    </row>
    <row r="309" spans="9:15" x14ac:dyDescent="0.2">
      <c r="I309" s="73"/>
      <c r="J309" s="73"/>
      <c r="K309" s="73"/>
      <c r="L309" s="73"/>
      <c r="M309" s="73"/>
      <c r="N309" s="73"/>
      <c r="O309" s="73"/>
    </row>
    <row r="310" spans="9:15" x14ac:dyDescent="0.2">
      <c r="I310" s="73"/>
      <c r="J310" s="73"/>
      <c r="K310" s="73"/>
      <c r="L310" s="73"/>
      <c r="M310" s="73"/>
      <c r="N310" s="73"/>
      <c r="O310" s="73"/>
    </row>
    <row r="311" spans="9:15" x14ac:dyDescent="0.2">
      <c r="I311" s="73"/>
      <c r="J311" s="73"/>
      <c r="K311" s="73"/>
      <c r="L311" s="73"/>
      <c r="M311" s="73"/>
      <c r="N311" s="73"/>
      <c r="O311" s="73"/>
    </row>
    <row r="312" spans="9:15" x14ac:dyDescent="0.2">
      <c r="I312" s="73"/>
      <c r="J312" s="73"/>
      <c r="K312" s="73"/>
      <c r="L312" s="73"/>
      <c r="M312" s="73"/>
      <c r="N312" s="73"/>
      <c r="O312" s="73"/>
    </row>
    <row r="313" spans="9:15" x14ac:dyDescent="0.2">
      <c r="I313" s="73"/>
      <c r="J313" s="73"/>
      <c r="K313" s="73"/>
      <c r="L313" s="73"/>
      <c r="M313" s="73"/>
      <c r="N313" s="73"/>
      <c r="O313" s="73"/>
    </row>
    <row r="314" spans="9:15" x14ac:dyDescent="0.2">
      <c r="I314" s="73"/>
      <c r="J314" s="73"/>
      <c r="K314" s="73"/>
      <c r="L314" s="73"/>
      <c r="M314" s="73"/>
      <c r="N314" s="73"/>
      <c r="O314" s="73"/>
    </row>
    <row r="315" spans="9:15" x14ac:dyDescent="0.2">
      <c r="I315" s="73"/>
      <c r="J315" s="73"/>
      <c r="K315" s="73"/>
      <c r="L315" s="73"/>
      <c r="M315" s="73"/>
      <c r="N315" s="73"/>
      <c r="O315" s="73"/>
    </row>
    <row r="316" spans="9:15" x14ac:dyDescent="0.2">
      <c r="I316" s="73"/>
      <c r="J316" s="73"/>
      <c r="K316" s="73"/>
      <c r="L316" s="73"/>
      <c r="M316" s="73"/>
      <c r="N316" s="73"/>
      <c r="O316" s="73"/>
    </row>
    <row r="317" spans="9:15" x14ac:dyDescent="0.2">
      <c r="I317" s="73"/>
      <c r="J317" s="73"/>
      <c r="K317" s="73"/>
      <c r="L317" s="73"/>
      <c r="M317" s="73"/>
      <c r="N317" s="73"/>
      <c r="O317" s="73"/>
    </row>
    <row r="318" spans="9:15" x14ac:dyDescent="0.2">
      <c r="I318" s="73"/>
      <c r="J318" s="73"/>
      <c r="K318" s="73"/>
      <c r="L318" s="73"/>
      <c r="M318" s="73"/>
      <c r="N318" s="73"/>
      <c r="O318" s="73"/>
    </row>
    <row r="319" spans="9:15" x14ac:dyDescent="0.2">
      <c r="I319" s="73"/>
      <c r="J319" s="73"/>
      <c r="K319" s="73"/>
      <c r="L319" s="73"/>
      <c r="M319" s="73"/>
      <c r="N319" s="73"/>
      <c r="O319" s="73"/>
    </row>
    <row r="320" spans="9:15" x14ac:dyDescent="0.2">
      <c r="I320" s="73"/>
      <c r="J320" s="73"/>
      <c r="K320" s="73"/>
      <c r="L320" s="73"/>
      <c r="M320" s="73"/>
      <c r="N320" s="73"/>
      <c r="O320" s="73"/>
    </row>
    <row r="321" spans="9:15" x14ac:dyDescent="0.2">
      <c r="I321" s="73"/>
      <c r="J321" s="73"/>
      <c r="K321" s="73"/>
      <c r="L321" s="73"/>
      <c r="M321" s="73"/>
      <c r="N321" s="73"/>
      <c r="O321" s="73"/>
    </row>
    <row r="322" spans="9:15" x14ac:dyDescent="0.2">
      <c r="I322" s="73"/>
      <c r="J322" s="73"/>
      <c r="K322" s="73"/>
      <c r="L322" s="73"/>
      <c r="M322" s="73"/>
      <c r="N322" s="73"/>
      <c r="O322" s="73"/>
    </row>
    <row r="323" spans="9:15" x14ac:dyDescent="0.2">
      <c r="I323" s="73"/>
      <c r="J323" s="73"/>
      <c r="K323" s="73"/>
      <c r="L323" s="73"/>
      <c r="M323" s="73"/>
      <c r="N323" s="73"/>
      <c r="O323" s="73"/>
    </row>
    <row r="324" spans="9:15" x14ac:dyDescent="0.2">
      <c r="I324" s="73"/>
      <c r="J324" s="73"/>
      <c r="K324" s="73"/>
      <c r="L324" s="73"/>
      <c r="M324" s="73"/>
      <c r="N324" s="73"/>
      <c r="O324" s="73"/>
    </row>
    <row r="325" spans="9:15" x14ac:dyDescent="0.2">
      <c r="I325" s="73"/>
      <c r="J325" s="73"/>
      <c r="K325" s="73"/>
      <c r="L325" s="73"/>
      <c r="M325" s="73"/>
      <c r="N325" s="73"/>
      <c r="O325" s="73"/>
    </row>
    <row r="326" spans="9:15" x14ac:dyDescent="0.2">
      <c r="I326" s="73"/>
      <c r="J326" s="73"/>
      <c r="K326" s="73"/>
      <c r="L326" s="73"/>
      <c r="M326" s="73"/>
      <c r="N326" s="73"/>
      <c r="O326" s="73"/>
    </row>
    <row r="327" spans="9:15" x14ac:dyDescent="0.2">
      <c r="I327" s="73"/>
      <c r="J327" s="73"/>
      <c r="K327" s="73"/>
      <c r="L327" s="73"/>
      <c r="M327" s="73"/>
      <c r="N327" s="73"/>
      <c r="O327" s="73"/>
    </row>
    <row r="328" spans="9:15" x14ac:dyDescent="0.2">
      <c r="I328" s="73"/>
      <c r="J328" s="73"/>
      <c r="K328" s="73"/>
      <c r="L328" s="73"/>
      <c r="M328" s="73"/>
      <c r="N328" s="73"/>
      <c r="O328" s="73"/>
    </row>
    <row r="329" spans="9:15" x14ac:dyDescent="0.2">
      <c r="I329" s="73"/>
      <c r="J329" s="73"/>
      <c r="K329" s="73"/>
      <c r="L329" s="73"/>
      <c r="M329" s="73"/>
      <c r="N329" s="73"/>
      <c r="O329" s="73"/>
    </row>
    <row r="330" spans="9:15" x14ac:dyDescent="0.2">
      <c r="I330" s="73"/>
      <c r="J330" s="73"/>
      <c r="K330" s="73"/>
      <c r="L330" s="73"/>
      <c r="M330" s="73"/>
      <c r="N330" s="73"/>
      <c r="O330" s="73"/>
    </row>
    <row r="331" spans="9:15" x14ac:dyDescent="0.2">
      <c r="I331" s="73"/>
      <c r="J331" s="73"/>
      <c r="K331" s="73"/>
      <c r="L331" s="73"/>
      <c r="M331" s="73"/>
      <c r="N331" s="73"/>
      <c r="O331" s="73"/>
    </row>
    <row r="332" spans="9:15" x14ac:dyDescent="0.2">
      <c r="I332" s="73"/>
      <c r="J332" s="73"/>
      <c r="K332" s="73"/>
      <c r="L332" s="73"/>
      <c r="M332" s="73"/>
      <c r="N332" s="73"/>
      <c r="O332" s="73"/>
    </row>
    <row r="333" spans="9:15" x14ac:dyDescent="0.2">
      <c r="I333" s="73"/>
      <c r="J333" s="73"/>
      <c r="K333" s="73"/>
      <c r="L333" s="73"/>
      <c r="M333" s="73"/>
      <c r="N333" s="73"/>
      <c r="O333" s="73"/>
    </row>
    <row r="334" spans="9:15" x14ac:dyDescent="0.2">
      <c r="I334" s="73"/>
      <c r="J334" s="73"/>
      <c r="K334" s="73"/>
      <c r="L334" s="73"/>
      <c r="M334" s="73"/>
      <c r="N334" s="73"/>
      <c r="O334" s="73"/>
    </row>
    <row r="335" spans="9:15" x14ac:dyDescent="0.2">
      <c r="I335" s="73"/>
      <c r="J335" s="73"/>
      <c r="K335" s="73"/>
      <c r="L335" s="73"/>
      <c r="M335" s="73"/>
      <c r="N335" s="73"/>
      <c r="O335" s="73"/>
    </row>
    <row r="336" spans="9:15" x14ac:dyDescent="0.2">
      <c r="I336" s="73"/>
      <c r="J336" s="73"/>
      <c r="K336" s="73"/>
      <c r="L336" s="73"/>
      <c r="M336" s="73"/>
      <c r="N336" s="73"/>
      <c r="O336" s="73"/>
    </row>
    <row r="337" spans="4:15" x14ac:dyDescent="0.2">
      <c r="I337" s="73"/>
      <c r="J337" s="73"/>
      <c r="K337" s="73"/>
      <c r="L337" s="73"/>
      <c r="M337" s="73"/>
      <c r="N337" s="73"/>
      <c r="O337" s="73"/>
    </row>
    <row r="338" spans="4:15" x14ac:dyDescent="0.2">
      <c r="I338" s="73"/>
      <c r="J338" s="73"/>
      <c r="K338" s="73"/>
      <c r="L338" s="73"/>
      <c r="M338" s="73"/>
      <c r="N338" s="73"/>
      <c r="O338" s="73"/>
    </row>
    <row r="339" spans="4:15" x14ac:dyDescent="0.2">
      <c r="I339" s="73"/>
      <c r="J339" s="73"/>
      <c r="K339" s="73"/>
      <c r="L339" s="73"/>
      <c r="M339" s="73"/>
      <c r="N339" s="73"/>
      <c r="O339" s="73"/>
    </row>
    <row r="340" spans="4:15" x14ac:dyDescent="0.2">
      <c r="I340" s="73"/>
      <c r="J340" s="73"/>
      <c r="K340" s="73"/>
      <c r="L340" s="73"/>
      <c r="M340" s="73"/>
      <c r="N340" s="73"/>
      <c r="O340" s="73"/>
    </row>
    <row r="341" spans="4:15" x14ac:dyDescent="0.2">
      <c r="I341" s="73"/>
      <c r="J341" s="73"/>
      <c r="K341" s="73"/>
      <c r="L341" s="73"/>
      <c r="M341" s="73"/>
      <c r="N341" s="73"/>
      <c r="O341" s="73"/>
    </row>
    <row r="342" spans="4:15" x14ac:dyDescent="0.2">
      <c r="I342" s="73"/>
      <c r="J342" s="73"/>
      <c r="K342" s="73"/>
      <c r="L342" s="73"/>
      <c r="M342" s="73"/>
      <c r="N342" s="73"/>
      <c r="O342" s="73"/>
    </row>
    <row r="343" spans="4:15" x14ac:dyDescent="0.2">
      <c r="I343" s="73"/>
      <c r="J343" s="91"/>
      <c r="K343" s="73"/>
      <c r="L343" s="73"/>
      <c r="M343" s="73"/>
      <c r="N343" s="73"/>
      <c r="O343" s="73"/>
    </row>
    <row r="344" spans="4:15" x14ac:dyDescent="0.2">
      <c r="I344" s="73"/>
      <c r="J344" s="91"/>
      <c r="K344" s="73"/>
      <c r="L344" s="73"/>
      <c r="M344" s="73"/>
      <c r="N344" s="73"/>
      <c r="O344" s="73"/>
    </row>
    <row r="345" spans="4:15" x14ac:dyDescent="0.2">
      <c r="I345" s="73"/>
      <c r="J345" s="99"/>
      <c r="K345" s="98"/>
      <c r="L345" s="73"/>
      <c r="M345" s="73"/>
      <c r="N345" s="73"/>
      <c r="O345" s="73"/>
    </row>
    <row r="346" spans="4:15" x14ac:dyDescent="0.2">
      <c r="I346" s="73"/>
      <c r="J346" s="91"/>
      <c r="K346" s="73"/>
      <c r="L346" s="73"/>
      <c r="M346" s="73"/>
      <c r="N346" s="73"/>
      <c r="O346" s="73"/>
    </row>
    <row r="347" spans="4:15" x14ac:dyDescent="0.2">
      <c r="I347" s="73"/>
      <c r="J347" s="91"/>
      <c r="K347" s="73"/>
      <c r="L347" s="73"/>
      <c r="M347" s="73"/>
      <c r="N347" s="73"/>
      <c r="O347" s="73"/>
    </row>
    <row r="348" spans="4:15" x14ac:dyDescent="0.2">
      <c r="I348" s="73"/>
      <c r="J348" s="91"/>
      <c r="K348" s="73"/>
      <c r="L348" s="73"/>
      <c r="M348" s="73"/>
      <c r="N348" s="73"/>
      <c r="O348" s="73"/>
    </row>
    <row r="349" spans="4:15" x14ac:dyDescent="0.2">
      <c r="H349" s="98"/>
      <c r="I349" s="73"/>
      <c r="J349" s="91"/>
      <c r="K349" s="73"/>
      <c r="L349" s="73"/>
      <c r="M349" s="73"/>
      <c r="N349" s="73"/>
      <c r="O349" s="73"/>
    </row>
    <row r="350" spans="4:15" x14ac:dyDescent="0.2">
      <c r="H350" s="85"/>
      <c r="I350" s="73"/>
      <c r="J350" s="91"/>
      <c r="K350" s="73"/>
      <c r="L350" s="73"/>
      <c r="M350" s="73"/>
      <c r="N350" s="73"/>
      <c r="O350" s="73"/>
    </row>
    <row r="351" spans="4:15" x14ac:dyDescent="0.2">
      <c r="H351" s="85"/>
      <c r="I351" s="73"/>
      <c r="J351" s="91"/>
      <c r="K351" s="73"/>
      <c r="L351" s="73"/>
      <c r="M351" s="73"/>
      <c r="N351" s="73"/>
      <c r="O351" s="73"/>
    </row>
    <row r="352" spans="4:15" x14ac:dyDescent="0.2">
      <c r="D352" s="5"/>
      <c r="H352" s="85"/>
      <c r="I352" s="73"/>
      <c r="J352" s="91"/>
      <c r="K352" s="73"/>
      <c r="L352" s="73"/>
      <c r="M352" s="73"/>
      <c r="N352" s="73"/>
      <c r="O352" s="73"/>
    </row>
    <row r="353" spans="1:16" x14ac:dyDescent="0.2">
      <c r="H353" s="88"/>
      <c r="I353" s="73"/>
      <c r="J353" s="91"/>
      <c r="K353" s="73"/>
      <c r="L353" s="73"/>
      <c r="M353" s="73"/>
      <c r="N353" s="73"/>
      <c r="O353" s="73"/>
    </row>
    <row r="354" spans="1:16" x14ac:dyDescent="0.2">
      <c r="H354" s="88"/>
      <c r="I354" s="73"/>
      <c r="J354" s="91"/>
      <c r="K354" s="73"/>
      <c r="L354" s="73"/>
      <c r="M354" s="73"/>
      <c r="N354" s="73"/>
      <c r="O354" s="73"/>
    </row>
    <row r="355" spans="1:16" x14ac:dyDescent="0.2">
      <c r="H355" s="88"/>
      <c r="I355" s="73"/>
      <c r="J355" s="73"/>
      <c r="K355" s="73"/>
      <c r="L355" s="73"/>
      <c r="M355" s="73"/>
      <c r="N355" s="73"/>
      <c r="O355" s="73"/>
    </row>
    <row r="356" spans="1:16" ht="15" x14ac:dyDescent="0.25">
      <c r="A356" s="112" t="s">
        <v>346</v>
      </c>
      <c r="H356" s="88"/>
      <c r="I356" s="73"/>
      <c r="J356" s="73"/>
      <c r="K356" s="73"/>
      <c r="L356" s="73"/>
      <c r="M356" s="73"/>
      <c r="N356" s="73"/>
      <c r="O356" s="73"/>
    </row>
    <row r="357" spans="1:16" ht="15.75" thickBot="1" x14ac:dyDescent="0.3">
      <c r="A357" s="112"/>
      <c r="D357" s="5" t="s">
        <v>0</v>
      </c>
      <c r="H357" s="88"/>
      <c r="I357" s="73"/>
      <c r="J357" s="112" t="s">
        <v>334</v>
      </c>
      <c r="K357" s="73"/>
      <c r="L357" s="73"/>
      <c r="M357" s="73"/>
      <c r="N357" s="73"/>
      <c r="O357" s="73"/>
    </row>
    <row r="358" spans="1:16" x14ac:dyDescent="0.2">
      <c r="C358" s="10" t="s">
        <v>330</v>
      </c>
      <c r="D358" s="53">
        <v>2</v>
      </c>
      <c r="E358" s="11" t="s">
        <v>3</v>
      </c>
      <c r="H358" s="88"/>
      <c r="I358" s="73"/>
      <c r="J358" s="75" t="s">
        <v>318</v>
      </c>
      <c r="K358" s="74" t="s">
        <v>328</v>
      </c>
      <c r="M358" s="73"/>
      <c r="N358" s="73"/>
      <c r="O358" s="73"/>
    </row>
    <row r="359" spans="1:16" x14ac:dyDescent="0.2">
      <c r="C359" s="10" t="s">
        <v>327</v>
      </c>
      <c r="D359" s="54">
        <v>6</v>
      </c>
      <c r="E359" s="11" t="s">
        <v>4</v>
      </c>
      <c r="I359" s="73"/>
      <c r="J359" s="10" t="s">
        <v>320</v>
      </c>
      <c r="K359" s="98" t="s">
        <v>319</v>
      </c>
      <c r="N359" s="73"/>
      <c r="O359" s="73"/>
      <c r="P359" s="98"/>
    </row>
    <row r="360" spans="1:16" x14ac:dyDescent="0.2">
      <c r="C360" s="2" t="s">
        <v>150</v>
      </c>
      <c r="D360" s="70">
        <v>17.5</v>
      </c>
      <c r="E360" t="s">
        <v>11</v>
      </c>
      <c r="G360" s="25" t="s">
        <v>73</v>
      </c>
      <c r="H360" s="25" t="s">
        <v>74</v>
      </c>
      <c r="I360" s="73"/>
      <c r="J360" s="10" t="s">
        <v>6</v>
      </c>
      <c r="K360" s="111">
        <f>(D366^2 + D368^2)^(1/2)</f>
        <v>4.2426406871192848</v>
      </c>
      <c r="N360" s="73"/>
      <c r="O360" s="116"/>
      <c r="P360" s="117"/>
    </row>
    <row r="361" spans="1:16" ht="15" thickBot="1" x14ac:dyDescent="0.25">
      <c r="C361" s="2" t="s">
        <v>53</v>
      </c>
      <c r="D361" s="70">
        <v>58</v>
      </c>
      <c r="E361" t="s">
        <v>11</v>
      </c>
      <c r="G361" s="21"/>
      <c r="H361" s="21" t="s">
        <v>85</v>
      </c>
      <c r="I361" s="73"/>
      <c r="J361" s="10" t="s">
        <v>321</v>
      </c>
      <c r="K361" s="98" t="s">
        <v>323</v>
      </c>
      <c r="N361" s="73"/>
      <c r="O361" s="116"/>
      <c r="P361" s="117"/>
    </row>
    <row r="362" spans="1:16" ht="13.5" thickBot="1" x14ac:dyDescent="0.25">
      <c r="C362" s="2" t="s">
        <v>59</v>
      </c>
      <c r="D362" s="70">
        <v>36</v>
      </c>
      <c r="E362" t="s">
        <v>11</v>
      </c>
      <c r="G362" s="29" t="s">
        <v>75</v>
      </c>
      <c r="H362" s="51" t="s">
        <v>181</v>
      </c>
      <c r="I362" s="73"/>
      <c r="J362" s="10" t="s">
        <v>6</v>
      </c>
      <c r="K362" s="111">
        <f>D366</f>
        <v>3</v>
      </c>
      <c r="N362" s="73"/>
      <c r="O362" s="116"/>
      <c r="P362" s="118"/>
    </row>
    <row r="363" spans="1:16" x14ac:dyDescent="0.2">
      <c r="C363" s="2" t="s">
        <v>140</v>
      </c>
      <c r="D363" s="69">
        <v>0.75</v>
      </c>
      <c r="E363" t="s">
        <v>4</v>
      </c>
      <c r="G363" t="s">
        <v>76</v>
      </c>
      <c r="H363" s="24">
        <v>17.5</v>
      </c>
      <c r="I363" s="73"/>
      <c r="J363" s="10" t="s">
        <v>322</v>
      </c>
      <c r="K363" s="98" t="s">
        <v>324</v>
      </c>
      <c r="N363" s="73"/>
      <c r="O363" s="116"/>
      <c r="P363" s="118"/>
    </row>
    <row r="364" spans="1:16" x14ac:dyDescent="0.2">
      <c r="C364" s="10" t="s">
        <v>30</v>
      </c>
      <c r="D364" s="69">
        <v>0.5</v>
      </c>
      <c r="E364" t="s">
        <v>4</v>
      </c>
      <c r="G364" t="s">
        <v>77</v>
      </c>
      <c r="H364" s="24">
        <v>22</v>
      </c>
      <c r="I364" s="73"/>
      <c r="J364" s="10" t="s">
        <v>6</v>
      </c>
      <c r="K364" s="111">
        <f>D366</f>
        <v>3</v>
      </c>
      <c r="N364" s="73"/>
      <c r="O364" s="116"/>
      <c r="P364" s="118"/>
    </row>
    <row r="365" spans="1:16" x14ac:dyDescent="0.2">
      <c r="C365" s="2" t="s">
        <v>44</v>
      </c>
      <c r="D365" s="69">
        <v>1.5</v>
      </c>
      <c r="E365" t="s">
        <v>4</v>
      </c>
      <c r="H365" s="24"/>
      <c r="I365" s="73"/>
      <c r="J365" s="10" t="s">
        <v>325</v>
      </c>
      <c r="K365" s="15" t="s">
        <v>326</v>
      </c>
      <c r="N365" s="73"/>
      <c r="O365" s="116"/>
      <c r="P365" s="118"/>
    </row>
    <row r="366" spans="1:16" ht="13.5" thickBot="1" x14ac:dyDescent="0.25">
      <c r="C366" s="2" t="s">
        <v>65</v>
      </c>
      <c r="D366" s="69">
        <v>3</v>
      </c>
      <c r="E366" t="s">
        <v>4</v>
      </c>
      <c r="G366" s="21" t="s">
        <v>78</v>
      </c>
      <c r="H366" s="51" t="s">
        <v>181</v>
      </c>
      <c r="I366" s="73" t="s">
        <v>29</v>
      </c>
      <c r="J366" s="10" t="s">
        <v>6</v>
      </c>
      <c r="K366" s="88">
        <f>(4*K360^2)+(2*K362^2)+(2*K364^2)</f>
        <v>107.99999999999999</v>
      </c>
      <c r="N366" s="73"/>
      <c r="O366" s="116"/>
      <c r="P366" s="118"/>
    </row>
    <row r="367" spans="1:16" x14ac:dyDescent="0.2">
      <c r="C367" s="2" t="s">
        <v>38</v>
      </c>
      <c r="D367" s="69">
        <v>1.5</v>
      </c>
      <c r="E367" t="s">
        <v>4</v>
      </c>
      <c r="G367" t="s">
        <v>79</v>
      </c>
      <c r="H367" s="24">
        <v>10</v>
      </c>
      <c r="I367" s="73"/>
      <c r="J367" s="9" t="s">
        <v>329</v>
      </c>
      <c r="K367" s="110">
        <f>D358*D359</f>
        <v>12</v>
      </c>
      <c r="L367" s="1" t="s">
        <v>333</v>
      </c>
      <c r="N367" s="73"/>
      <c r="O367" s="116"/>
      <c r="P367" s="118"/>
    </row>
    <row r="368" spans="1:16" ht="15" thickBot="1" x14ac:dyDescent="0.25">
      <c r="C368" s="2" t="s">
        <v>39</v>
      </c>
      <c r="D368" s="82">
        <v>3</v>
      </c>
      <c r="E368" t="s">
        <v>4</v>
      </c>
      <c r="G368" t="s">
        <v>80</v>
      </c>
      <c r="H368" s="24">
        <v>21</v>
      </c>
      <c r="I368" s="73"/>
      <c r="N368" s="73"/>
      <c r="O368" s="116"/>
      <c r="P368" s="118"/>
    </row>
    <row r="369" spans="3:16" ht="14.25" x14ac:dyDescent="0.2">
      <c r="D369" s="5" t="s">
        <v>5</v>
      </c>
      <c r="G369" t="s">
        <v>81</v>
      </c>
      <c r="H369" s="24">
        <v>30</v>
      </c>
      <c r="I369" s="73"/>
      <c r="J369" s="9" t="s">
        <v>332</v>
      </c>
      <c r="K369" s="23">
        <f>K360+K362+K366</f>
        <v>115.24264068711928</v>
      </c>
      <c r="L369" s="1" t="s">
        <v>112</v>
      </c>
      <c r="N369" s="73"/>
      <c r="O369" s="116"/>
      <c r="P369" s="118"/>
    </row>
    <row r="370" spans="3:16" ht="14.25" x14ac:dyDescent="0.2">
      <c r="D370" s="5" t="s">
        <v>98</v>
      </c>
      <c r="G370" t="s">
        <v>82</v>
      </c>
      <c r="H370" s="24">
        <v>28</v>
      </c>
      <c r="I370" s="73"/>
      <c r="J370" s="91"/>
      <c r="K370" s="73"/>
      <c r="L370" s="73"/>
      <c r="N370" s="73"/>
      <c r="O370" s="116"/>
      <c r="P370" s="118"/>
    </row>
    <row r="371" spans="3:16" ht="14.25" x14ac:dyDescent="0.2">
      <c r="C371" s="9" t="s">
        <v>43</v>
      </c>
      <c r="D371" s="4">
        <v>8</v>
      </c>
      <c r="G371" t="s">
        <v>90</v>
      </c>
      <c r="H371" s="24">
        <v>40</v>
      </c>
      <c r="I371" s="73"/>
      <c r="J371" s="9" t="s">
        <v>331</v>
      </c>
      <c r="K371" s="73"/>
      <c r="L371" s="73"/>
      <c r="M371" s="73"/>
      <c r="N371" s="73"/>
      <c r="O371" s="73"/>
    </row>
    <row r="372" spans="3:16" x14ac:dyDescent="0.2">
      <c r="C372" s="9" t="s">
        <v>94</v>
      </c>
      <c r="D372" s="1" t="s">
        <v>61</v>
      </c>
      <c r="E372" s="1"/>
      <c r="G372" t="s">
        <v>83</v>
      </c>
      <c r="H372" s="24">
        <v>17.5</v>
      </c>
      <c r="I372" s="73"/>
      <c r="J372" s="10" t="s">
        <v>320</v>
      </c>
      <c r="K372" s="74" t="s">
        <v>328</v>
      </c>
      <c r="L372" s="73"/>
      <c r="M372" s="73"/>
      <c r="N372" s="73"/>
      <c r="O372" s="73"/>
    </row>
    <row r="373" spans="3:16" ht="13.5" thickBot="1" x14ac:dyDescent="0.25">
      <c r="C373" s="9"/>
      <c r="D373" s="4">
        <f>0.5*D361</f>
        <v>29</v>
      </c>
      <c r="E373" s="1" t="s">
        <v>11</v>
      </c>
      <c r="G373" s="30" t="s">
        <v>84</v>
      </c>
      <c r="H373" s="27">
        <v>22</v>
      </c>
      <c r="I373" s="73"/>
      <c r="J373" s="10" t="s">
        <v>6</v>
      </c>
      <c r="K373" s="115">
        <f>K360*K367/K369</f>
        <v>0.44177821630845227</v>
      </c>
      <c r="L373" s="74" t="s">
        <v>3</v>
      </c>
      <c r="M373" s="73"/>
      <c r="N373" s="73"/>
      <c r="O373" s="73"/>
    </row>
    <row r="374" spans="3:16" x14ac:dyDescent="0.2">
      <c r="C374" s="9" t="s">
        <v>95</v>
      </c>
      <c r="D374" s="1" t="s">
        <v>58</v>
      </c>
      <c r="E374" s="1"/>
      <c r="I374" s="73"/>
      <c r="J374" s="10" t="s">
        <v>321</v>
      </c>
      <c r="K374" s="74" t="s">
        <v>328</v>
      </c>
      <c r="L374" s="73"/>
      <c r="M374" s="73"/>
      <c r="N374" s="73"/>
      <c r="O374" s="73"/>
    </row>
    <row r="375" spans="3:16" x14ac:dyDescent="0.2">
      <c r="C375" s="9"/>
      <c r="D375" s="4">
        <f>0.6*D362</f>
        <v>21.599999999999998</v>
      </c>
      <c r="E375" s="1" t="s">
        <v>11</v>
      </c>
      <c r="I375" s="73"/>
      <c r="J375" s="2"/>
      <c r="K375" s="115">
        <f>K362*K367/K369</f>
        <v>0.31238437253220402</v>
      </c>
      <c r="L375" s="74" t="s">
        <v>3</v>
      </c>
      <c r="M375" s="73"/>
      <c r="N375" s="73"/>
      <c r="O375" s="73"/>
    </row>
    <row r="376" spans="3:16" x14ac:dyDescent="0.2">
      <c r="C376" s="9" t="s">
        <v>183</v>
      </c>
      <c r="D376" s="1" t="s">
        <v>148</v>
      </c>
      <c r="E376" s="1"/>
      <c r="I376" s="73"/>
      <c r="J376" s="10" t="s">
        <v>322</v>
      </c>
      <c r="K376" s="74" t="s">
        <v>328</v>
      </c>
      <c r="L376" s="73"/>
      <c r="M376" s="73"/>
      <c r="N376" s="73"/>
      <c r="O376" s="73"/>
    </row>
    <row r="377" spans="3:16" x14ac:dyDescent="0.2">
      <c r="C377" s="1"/>
      <c r="D377" s="8">
        <f>D361 * D365 / (2 * D363)</f>
        <v>58</v>
      </c>
      <c r="E377" s="1" t="s">
        <v>11</v>
      </c>
      <c r="I377" s="73"/>
      <c r="J377" s="2"/>
      <c r="K377" s="115">
        <f>K364*K367/K369</f>
        <v>0.31238437253220402</v>
      </c>
      <c r="L377" s="74" t="s">
        <v>3</v>
      </c>
      <c r="M377" s="73"/>
      <c r="N377" s="73"/>
      <c r="O377" s="73"/>
    </row>
    <row r="378" spans="3:16" x14ac:dyDescent="0.2">
      <c r="C378" s="9" t="s">
        <v>185</v>
      </c>
      <c r="D378" s="1" t="s">
        <v>188</v>
      </c>
      <c r="E378" s="1"/>
      <c r="I378" s="73"/>
      <c r="M378" s="73"/>
      <c r="N378" s="73"/>
      <c r="O378" s="73"/>
    </row>
    <row r="379" spans="3:16" x14ac:dyDescent="0.2">
      <c r="C379" s="1"/>
      <c r="D379" s="8">
        <f>(D361/2)*((D366/D363)-0.5)</f>
        <v>101.5</v>
      </c>
      <c r="E379" s="1" t="s">
        <v>11</v>
      </c>
      <c r="I379" s="73"/>
      <c r="J379" s="2"/>
      <c r="K379" s="73"/>
      <c r="L379" s="73"/>
      <c r="M379" s="73"/>
      <c r="N379" s="73"/>
      <c r="O379" s="73"/>
    </row>
    <row r="380" spans="3:16" x14ac:dyDescent="0.2">
      <c r="C380" s="9" t="s">
        <v>184</v>
      </c>
      <c r="D380" s="1" t="s">
        <v>57</v>
      </c>
      <c r="E380" s="1"/>
      <c r="I380" s="73"/>
      <c r="J380" s="2"/>
      <c r="K380" s="73"/>
      <c r="L380" s="73"/>
      <c r="M380" s="73"/>
      <c r="N380" s="73"/>
      <c r="O380" s="73"/>
    </row>
    <row r="381" spans="3:16" x14ac:dyDescent="0.2">
      <c r="C381" s="1"/>
      <c r="D381" s="8">
        <f>1.5*D361</f>
        <v>87</v>
      </c>
      <c r="E381" s="1" t="s">
        <v>11</v>
      </c>
      <c r="I381" s="73"/>
      <c r="K381" s="73"/>
      <c r="L381" s="73"/>
      <c r="M381" s="73"/>
      <c r="N381" s="73"/>
      <c r="O381" s="73"/>
    </row>
    <row r="382" spans="3:16" x14ac:dyDescent="0.2">
      <c r="D382" s="5" t="s">
        <v>66</v>
      </c>
      <c r="I382" s="73"/>
      <c r="K382" s="73"/>
      <c r="L382" s="73"/>
      <c r="M382" s="73"/>
      <c r="N382" s="73"/>
      <c r="O382" s="73"/>
    </row>
    <row r="383" spans="3:16" x14ac:dyDescent="0.2">
      <c r="C383" s="9" t="s">
        <v>9</v>
      </c>
      <c r="D383" s="4" t="s">
        <v>68</v>
      </c>
      <c r="E383" s="1"/>
      <c r="I383" s="73"/>
      <c r="J383" s="73"/>
      <c r="K383" s="73"/>
      <c r="L383" s="73"/>
      <c r="M383" s="73"/>
      <c r="N383" s="73"/>
      <c r="O383" s="73"/>
    </row>
    <row r="384" spans="3:16" x14ac:dyDescent="0.2">
      <c r="C384" s="7" t="s">
        <v>6</v>
      </c>
      <c r="D384" s="8">
        <f>D371*D360 * 3.1416 * D363^2 / 4</f>
        <v>61.850250000000003</v>
      </c>
      <c r="E384" s="1" t="s">
        <v>3</v>
      </c>
      <c r="I384" s="73"/>
      <c r="J384" s="73"/>
      <c r="K384" s="73"/>
      <c r="L384" s="73"/>
      <c r="M384" s="73"/>
      <c r="N384" s="73"/>
      <c r="O384" s="73"/>
    </row>
    <row r="385" spans="3:15" x14ac:dyDescent="0.2">
      <c r="D385" s="5" t="s">
        <v>67</v>
      </c>
      <c r="I385" s="73"/>
      <c r="J385" s="73"/>
      <c r="K385" s="73"/>
      <c r="L385" s="73"/>
      <c r="M385" s="73"/>
      <c r="N385" s="73"/>
      <c r="O385" s="73"/>
    </row>
    <row r="386" spans="3:15" x14ac:dyDescent="0.2">
      <c r="C386" s="9" t="s">
        <v>1</v>
      </c>
      <c r="D386" s="4" t="s">
        <v>197</v>
      </c>
      <c r="E386" s="1"/>
      <c r="F386" s="1" t="s">
        <v>23</v>
      </c>
      <c r="H386" s="3"/>
      <c r="I386" s="73"/>
      <c r="J386" s="73"/>
      <c r="K386" s="73"/>
      <c r="L386" s="73"/>
      <c r="M386" s="73"/>
      <c r="N386" s="73"/>
      <c r="O386" s="73"/>
    </row>
    <row r="387" spans="3:15" x14ac:dyDescent="0.2">
      <c r="C387" s="9"/>
      <c r="D387" s="23">
        <f>2 * ( D367 + D368)</f>
        <v>9</v>
      </c>
      <c r="E387" s="1" t="s">
        <v>4</v>
      </c>
      <c r="H387" s="3"/>
      <c r="I387" s="73"/>
      <c r="K387" s="73"/>
      <c r="L387" s="73"/>
      <c r="M387" s="73"/>
      <c r="N387" s="73"/>
      <c r="O387" s="73"/>
    </row>
    <row r="388" spans="3:15" x14ac:dyDescent="0.2">
      <c r="C388" s="9" t="s">
        <v>28</v>
      </c>
      <c r="D388" s="4" t="s">
        <v>96</v>
      </c>
      <c r="H388" s="3"/>
      <c r="I388" s="73"/>
      <c r="K388" s="73"/>
      <c r="L388" s="73"/>
      <c r="M388" s="73"/>
      <c r="N388" s="73"/>
      <c r="O388" s="73"/>
    </row>
    <row r="389" spans="3:15" x14ac:dyDescent="0.2">
      <c r="C389" s="7" t="s">
        <v>6</v>
      </c>
      <c r="D389" s="8">
        <f>D375 * D364 * D387</f>
        <v>97.199999999999989</v>
      </c>
      <c r="E389" s="1" t="s">
        <v>3</v>
      </c>
      <c r="H389" s="3"/>
      <c r="I389" s="73"/>
      <c r="K389" s="73"/>
      <c r="L389" s="73"/>
      <c r="M389" s="73"/>
      <c r="N389" s="73"/>
      <c r="O389" s="73"/>
    </row>
    <row r="390" spans="3:15" x14ac:dyDescent="0.2">
      <c r="C390" s="9" t="s">
        <v>21</v>
      </c>
      <c r="D390" s="4" t="s">
        <v>149</v>
      </c>
      <c r="E390" s="1"/>
      <c r="H390" s="3"/>
      <c r="I390" s="73"/>
      <c r="K390" s="73"/>
      <c r="L390" s="73"/>
      <c r="M390" s="73"/>
      <c r="N390" s="73"/>
      <c r="O390" s="73"/>
    </row>
    <row r="391" spans="3:15" x14ac:dyDescent="0.2">
      <c r="D391" s="23">
        <f>D363+0.125</f>
        <v>0.875</v>
      </c>
      <c r="E391" s="1" t="s">
        <v>4</v>
      </c>
      <c r="H391" s="3"/>
      <c r="I391" s="73"/>
      <c r="K391" s="73"/>
      <c r="L391" s="73"/>
      <c r="M391" s="73"/>
      <c r="N391" s="73"/>
      <c r="O391" s="73"/>
    </row>
    <row r="392" spans="3:15" x14ac:dyDescent="0.2">
      <c r="C392" s="9" t="s">
        <v>60</v>
      </c>
      <c r="D392" s="4" t="s">
        <v>97</v>
      </c>
      <c r="H392" s="3"/>
      <c r="I392" s="73"/>
      <c r="K392" s="73"/>
      <c r="L392" s="73"/>
      <c r="M392" s="73"/>
      <c r="N392" s="73"/>
      <c r="O392" s="73"/>
    </row>
    <row r="393" spans="3:15" x14ac:dyDescent="0.2">
      <c r="C393" s="6" t="s">
        <v>6</v>
      </c>
      <c r="D393" s="8">
        <f>D373*D364*(D387-(3*D391))</f>
        <v>92.4375</v>
      </c>
      <c r="E393" s="1" t="s">
        <v>3</v>
      </c>
      <c r="I393" s="73"/>
      <c r="K393" s="73"/>
      <c r="L393" s="73"/>
      <c r="M393" s="73"/>
      <c r="N393" s="73"/>
      <c r="O393" s="73"/>
    </row>
    <row r="394" spans="3:15" x14ac:dyDescent="0.2">
      <c r="C394" s="9" t="s">
        <v>62</v>
      </c>
      <c r="D394" s="4" t="s">
        <v>189</v>
      </c>
      <c r="E394" s="1"/>
      <c r="I394" s="73"/>
      <c r="K394" s="73"/>
      <c r="L394" s="73"/>
      <c r="M394" s="73"/>
      <c r="N394" s="73"/>
      <c r="O394" s="73"/>
    </row>
    <row r="395" spans="3:15" x14ac:dyDescent="0.2">
      <c r="C395" s="7" t="s">
        <v>6</v>
      </c>
      <c r="D395" s="8">
        <f>$D$426 *D377 * $D$418 * $D$417</f>
        <v>217.5</v>
      </c>
      <c r="E395" s="1" t="s">
        <v>3</v>
      </c>
      <c r="I395" s="73"/>
      <c r="K395" s="73"/>
      <c r="L395" s="73"/>
      <c r="M395" s="73"/>
      <c r="N395" s="73"/>
      <c r="O395" s="73"/>
    </row>
    <row r="396" spans="3:15" x14ac:dyDescent="0.2">
      <c r="C396" s="9" t="s">
        <v>63</v>
      </c>
      <c r="D396" s="4" t="s">
        <v>190</v>
      </c>
      <c r="E396" s="1"/>
      <c r="I396" s="73"/>
      <c r="K396" s="73"/>
      <c r="L396" s="73"/>
      <c r="M396" s="73"/>
      <c r="N396" s="73"/>
      <c r="O396" s="73"/>
    </row>
    <row r="397" spans="3:15" x14ac:dyDescent="0.2">
      <c r="C397" s="7" t="s">
        <v>6</v>
      </c>
      <c r="D397" s="8">
        <f>$D$426 *D379 * $D$418 * $D$417</f>
        <v>380.625</v>
      </c>
      <c r="E397" s="1" t="s">
        <v>3</v>
      </c>
      <c r="I397" s="73"/>
      <c r="J397" s="73"/>
      <c r="K397" s="73"/>
      <c r="L397" s="73"/>
      <c r="M397" s="73"/>
      <c r="N397" s="73"/>
      <c r="O397" s="73"/>
    </row>
    <row r="398" spans="3:15" x14ac:dyDescent="0.2">
      <c r="C398" s="9" t="s">
        <v>64</v>
      </c>
      <c r="D398" s="4" t="s">
        <v>191</v>
      </c>
      <c r="E398" s="1"/>
      <c r="I398" s="73"/>
      <c r="J398" s="73"/>
      <c r="K398" s="73"/>
      <c r="L398" s="73"/>
      <c r="M398" s="73"/>
      <c r="N398" s="73"/>
      <c r="O398" s="73"/>
    </row>
    <row r="399" spans="3:15" x14ac:dyDescent="0.2">
      <c r="C399" s="7" t="s">
        <v>6</v>
      </c>
      <c r="D399" s="8">
        <f>$D$426 *D381 * $D$418 * $D$417</f>
        <v>326.25</v>
      </c>
      <c r="E399" s="1" t="s">
        <v>3</v>
      </c>
      <c r="I399" s="73"/>
      <c r="J399" s="73"/>
      <c r="K399" s="73"/>
      <c r="L399" s="73"/>
      <c r="M399" s="73"/>
      <c r="N399" s="73"/>
      <c r="O399" s="73"/>
    </row>
    <row r="400" spans="3:15" ht="13.5" thickBot="1" x14ac:dyDescent="0.25">
      <c r="D400" s="5" t="s">
        <v>0</v>
      </c>
      <c r="I400" s="73"/>
      <c r="J400" s="73"/>
      <c r="K400" s="73"/>
      <c r="L400" s="73" t="s">
        <v>29</v>
      </c>
      <c r="M400" s="73"/>
      <c r="N400" s="73"/>
      <c r="O400" s="73"/>
    </row>
    <row r="401" spans="1:15" x14ac:dyDescent="0.2">
      <c r="C401" s="10" t="s">
        <v>151</v>
      </c>
      <c r="D401" s="80">
        <v>126.88</v>
      </c>
      <c r="E401" s="11" t="s">
        <v>3</v>
      </c>
      <c r="I401" s="73"/>
      <c r="J401" s="73"/>
      <c r="K401" s="73"/>
      <c r="L401" s="73"/>
      <c r="M401" s="73"/>
      <c r="N401" s="73"/>
      <c r="O401" s="73"/>
    </row>
    <row r="402" spans="1:15" ht="13.5" thickBot="1" x14ac:dyDescent="0.25">
      <c r="C402" s="2" t="s">
        <v>25</v>
      </c>
      <c r="D402" s="71">
        <v>60</v>
      </c>
      <c r="E402" s="1" t="s">
        <v>3</v>
      </c>
      <c r="I402" s="73"/>
      <c r="J402" s="73"/>
      <c r="K402" s="73"/>
      <c r="L402" s="73"/>
      <c r="M402" s="73"/>
      <c r="N402" s="73"/>
      <c r="O402" s="73"/>
    </row>
    <row r="403" spans="1:15" x14ac:dyDescent="0.2">
      <c r="I403" s="73"/>
      <c r="J403" s="73"/>
      <c r="K403" s="73"/>
      <c r="L403" s="73"/>
      <c r="M403" s="73"/>
      <c r="N403" s="73"/>
      <c r="O403" s="73"/>
    </row>
    <row r="404" spans="1:15" x14ac:dyDescent="0.2">
      <c r="I404" s="73"/>
      <c r="J404" s="73"/>
      <c r="K404" s="73"/>
      <c r="L404" s="73"/>
      <c r="M404" s="73"/>
      <c r="N404" s="73"/>
      <c r="O404" s="73"/>
    </row>
    <row r="405" spans="1:15" x14ac:dyDescent="0.2">
      <c r="I405" s="73"/>
      <c r="J405" s="73"/>
      <c r="K405" s="73"/>
      <c r="L405" s="73"/>
      <c r="M405" s="73"/>
      <c r="N405" s="73"/>
      <c r="O405" s="73"/>
    </row>
    <row r="406" spans="1:15" x14ac:dyDescent="0.2">
      <c r="I406" s="73"/>
      <c r="J406" s="73"/>
      <c r="K406" s="73"/>
      <c r="L406" s="73"/>
      <c r="M406" s="73"/>
      <c r="N406" s="73"/>
      <c r="O406" s="73"/>
    </row>
    <row r="407" spans="1:15" x14ac:dyDescent="0.2">
      <c r="D407" s="5" t="s">
        <v>5</v>
      </c>
      <c r="I407" s="73"/>
      <c r="J407" s="73"/>
      <c r="K407" s="73"/>
      <c r="L407" s="73"/>
      <c r="M407" s="73"/>
      <c r="N407" s="73"/>
      <c r="O407" s="73"/>
    </row>
    <row r="408" spans="1:15" x14ac:dyDescent="0.2">
      <c r="C408" s="9" t="s">
        <v>13</v>
      </c>
      <c r="D408" s="4" t="s">
        <v>32</v>
      </c>
      <c r="G408" s="25" t="s">
        <v>73</v>
      </c>
      <c r="H408" s="25" t="s">
        <v>74</v>
      </c>
      <c r="I408" s="73"/>
      <c r="J408" s="73"/>
      <c r="K408" s="73"/>
      <c r="L408" s="73"/>
      <c r="M408" s="73"/>
      <c r="N408" s="73"/>
      <c r="O408" s="73"/>
    </row>
    <row r="409" spans="1:15" ht="15" thickBot="1" x14ac:dyDescent="0.25">
      <c r="B409" s="11"/>
      <c r="C409" s="7" t="s">
        <v>6</v>
      </c>
      <c r="D409" s="12">
        <f>D401 / D389</f>
        <v>1.3053497942386831</v>
      </c>
      <c r="G409" s="21"/>
      <c r="H409" s="21" t="s">
        <v>85</v>
      </c>
      <c r="I409" s="73"/>
      <c r="J409" s="73"/>
      <c r="K409" s="73"/>
      <c r="L409" s="73"/>
      <c r="M409" s="73"/>
      <c r="N409" s="73"/>
      <c r="O409" s="73"/>
    </row>
    <row r="410" spans="1:15" ht="13.5" thickBot="1" x14ac:dyDescent="0.25">
      <c r="C410" s="9" t="s">
        <v>26</v>
      </c>
      <c r="D410" s="4" t="s">
        <v>27</v>
      </c>
      <c r="G410" s="29" t="s">
        <v>75</v>
      </c>
      <c r="H410" s="51" t="s">
        <v>181</v>
      </c>
      <c r="I410" s="73"/>
      <c r="J410" s="73"/>
      <c r="K410" s="73"/>
      <c r="L410" s="73"/>
      <c r="M410" s="73"/>
      <c r="N410" s="73"/>
      <c r="O410" s="73"/>
    </row>
    <row r="411" spans="1:15" x14ac:dyDescent="0.2">
      <c r="C411" s="7" t="s">
        <v>6</v>
      </c>
      <c r="D411" s="8">
        <f>D401/D402</f>
        <v>2.1146666666666665</v>
      </c>
      <c r="G411" t="s">
        <v>76</v>
      </c>
      <c r="H411" s="24">
        <v>17.5</v>
      </c>
      <c r="I411" s="73"/>
      <c r="J411" s="73"/>
      <c r="K411" s="73"/>
      <c r="L411" s="73"/>
      <c r="M411" s="73"/>
      <c r="N411" s="73"/>
      <c r="O411" s="73"/>
    </row>
    <row r="412" spans="1:15" x14ac:dyDescent="0.2">
      <c r="A412" s="1" t="s">
        <v>335</v>
      </c>
      <c r="G412" t="s">
        <v>77</v>
      </c>
      <c r="H412" s="24">
        <v>22</v>
      </c>
      <c r="I412" s="73"/>
      <c r="J412" s="74" t="s">
        <v>336</v>
      </c>
      <c r="K412" s="73"/>
      <c r="L412" s="73"/>
      <c r="M412" s="73"/>
      <c r="N412" s="73"/>
      <c r="O412" s="73"/>
    </row>
    <row r="413" spans="1:15" ht="13.5" thickBot="1" x14ac:dyDescent="0.25">
      <c r="D413" s="5" t="s">
        <v>0</v>
      </c>
      <c r="H413" s="24"/>
      <c r="I413" s="73"/>
      <c r="J413" s="1" t="s">
        <v>337</v>
      </c>
      <c r="K413" s="73"/>
      <c r="L413" s="73"/>
      <c r="M413" s="73"/>
      <c r="N413" s="73"/>
      <c r="O413" s="73"/>
    </row>
    <row r="414" spans="1:15" ht="13.5" thickBot="1" x14ac:dyDescent="0.25">
      <c r="C414" s="2" t="s">
        <v>150</v>
      </c>
      <c r="D414" s="81">
        <v>24</v>
      </c>
      <c r="E414" t="s">
        <v>11</v>
      </c>
      <c r="G414" s="21" t="s">
        <v>78</v>
      </c>
      <c r="H414" s="51" t="s">
        <v>181</v>
      </c>
      <c r="I414" s="73"/>
      <c r="J414" s="85"/>
      <c r="K414" s="73"/>
      <c r="L414" s="73"/>
      <c r="M414" s="73"/>
      <c r="N414" s="73"/>
      <c r="O414" s="73"/>
    </row>
    <row r="415" spans="1:15" x14ac:dyDescent="0.2">
      <c r="C415" s="2" t="s">
        <v>53</v>
      </c>
      <c r="D415" s="70">
        <v>58</v>
      </c>
      <c r="E415" t="s">
        <v>11</v>
      </c>
      <c r="G415" t="s">
        <v>79</v>
      </c>
      <c r="H415" s="24">
        <v>10</v>
      </c>
      <c r="I415" s="73"/>
      <c r="J415" s="85"/>
      <c r="K415" s="73"/>
      <c r="L415" s="73"/>
      <c r="M415" s="73"/>
      <c r="N415" s="73"/>
      <c r="O415" s="73"/>
    </row>
    <row r="416" spans="1:15" ht="14.25" x14ac:dyDescent="0.2">
      <c r="C416" s="2" t="s">
        <v>59</v>
      </c>
      <c r="D416" s="70">
        <v>36</v>
      </c>
      <c r="E416" t="s">
        <v>11</v>
      </c>
      <c r="G416" t="s">
        <v>80</v>
      </c>
      <c r="H416" s="24">
        <v>21</v>
      </c>
      <c r="I416" s="73"/>
      <c r="J416" s="85"/>
      <c r="K416" s="73"/>
      <c r="L416" s="73"/>
      <c r="M416" s="73"/>
      <c r="N416" s="73"/>
      <c r="O416" s="73"/>
    </row>
    <row r="417" spans="3:15" ht="14.25" x14ac:dyDescent="0.2">
      <c r="C417" s="2" t="s">
        <v>140</v>
      </c>
      <c r="D417" s="69">
        <v>0.625</v>
      </c>
      <c r="E417" t="s">
        <v>4</v>
      </c>
      <c r="G417" t="s">
        <v>81</v>
      </c>
      <c r="H417" s="24">
        <v>30</v>
      </c>
      <c r="I417" s="73"/>
      <c r="J417" s="88"/>
      <c r="K417" s="73"/>
      <c r="L417" s="73"/>
      <c r="M417" s="73"/>
      <c r="N417" s="73"/>
      <c r="O417" s="73"/>
    </row>
    <row r="418" spans="3:15" ht="14.25" x14ac:dyDescent="0.2">
      <c r="C418" s="2" t="s">
        <v>14</v>
      </c>
      <c r="D418" s="69">
        <v>0.75</v>
      </c>
      <c r="E418" t="s">
        <v>4</v>
      </c>
      <c r="G418" t="s">
        <v>82</v>
      </c>
      <c r="H418" s="24">
        <v>28</v>
      </c>
      <c r="I418" s="73"/>
      <c r="J418" s="88"/>
      <c r="K418" s="73"/>
      <c r="L418" s="73"/>
      <c r="M418" s="73"/>
      <c r="N418" s="73"/>
      <c r="O418" s="73"/>
    </row>
    <row r="419" spans="3:15" ht="14.25" x14ac:dyDescent="0.2">
      <c r="C419" s="2" t="s">
        <v>182</v>
      </c>
      <c r="D419" s="70">
        <v>0.5</v>
      </c>
      <c r="E419" t="s">
        <v>4</v>
      </c>
      <c r="G419" t="s">
        <v>90</v>
      </c>
      <c r="H419" s="24">
        <v>40</v>
      </c>
      <c r="I419" s="73"/>
      <c r="J419" s="85"/>
      <c r="K419" s="73"/>
      <c r="L419" s="73"/>
      <c r="M419" s="73"/>
      <c r="N419" s="73"/>
      <c r="O419" s="73"/>
    </row>
    <row r="420" spans="3:15" x14ac:dyDescent="0.2">
      <c r="C420" s="2" t="s">
        <v>44</v>
      </c>
      <c r="D420" s="69">
        <v>3</v>
      </c>
      <c r="E420" t="s">
        <v>4</v>
      </c>
      <c r="G420" t="s">
        <v>83</v>
      </c>
      <c r="H420" s="24">
        <v>17.5</v>
      </c>
      <c r="I420" s="73"/>
      <c r="J420" s="88"/>
      <c r="K420" s="73"/>
      <c r="L420" s="73"/>
      <c r="M420" s="73"/>
      <c r="N420" s="73"/>
      <c r="O420" s="73"/>
    </row>
    <row r="421" spans="3:15" ht="13.5" thickBot="1" x14ac:dyDescent="0.25">
      <c r="C421" s="2" t="s">
        <v>65</v>
      </c>
      <c r="D421" s="69">
        <v>4</v>
      </c>
      <c r="E421" t="s">
        <v>4</v>
      </c>
      <c r="G421" s="30" t="s">
        <v>84</v>
      </c>
      <c r="H421" s="27">
        <v>22</v>
      </c>
      <c r="I421" s="73"/>
      <c r="J421" s="88"/>
      <c r="K421" s="73"/>
      <c r="L421" s="73"/>
      <c r="M421" s="73"/>
      <c r="N421" s="73"/>
      <c r="O421" s="73"/>
    </row>
    <row r="422" spans="3:15" x14ac:dyDescent="0.2">
      <c r="C422" s="2" t="s">
        <v>38</v>
      </c>
      <c r="D422" s="69">
        <v>3</v>
      </c>
      <c r="E422" t="s">
        <v>4</v>
      </c>
      <c r="I422" s="73"/>
      <c r="J422" s="88"/>
      <c r="K422" s="73"/>
      <c r="L422" s="73"/>
      <c r="M422" s="73"/>
      <c r="N422" s="73"/>
      <c r="O422" s="73"/>
    </row>
    <row r="423" spans="3:15" ht="13.5" thickBot="1" x14ac:dyDescent="0.25">
      <c r="C423" s="2" t="s">
        <v>39</v>
      </c>
      <c r="D423" s="82">
        <v>4</v>
      </c>
      <c r="E423" t="s">
        <v>4</v>
      </c>
      <c r="I423" s="73"/>
      <c r="J423" s="88"/>
      <c r="K423" s="73"/>
      <c r="L423" s="73"/>
      <c r="M423" s="73"/>
      <c r="N423" s="73"/>
      <c r="O423" s="73"/>
    </row>
    <row r="424" spans="3:15" x14ac:dyDescent="0.2">
      <c r="D424" s="5" t="s">
        <v>5</v>
      </c>
      <c r="I424" s="73"/>
      <c r="J424" s="88"/>
      <c r="K424" s="73"/>
      <c r="L424" s="73"/>
      <c r="M424" s="73"/>
      <c r="N424" s="73"/>
      <c r="O424" s="73"/>
    </row>
    <row r="425" spans="3:15" x14ac:dyDescent="0.2">
      <c r="D425" s="5" t="s">
        <v>50</v>
      </c>
      <c r="I425" s="73"/>
      <c r="J425" s="88"/>
      <c r="K425" s="73"/>
      <c r="L425" s="73"/>
      <c r="M425" s="73"/>
      <c r="N425" s="73"/>
      <c r="O425" s="73"/>
    </row>
    <row r="426" spans="3:15" x14ac:dyDescent="0.2">
      <c r="C426" s="9" t="s">
        <v>43</v>
      </c>
      <c r="D426" s="4">
        <v>8</v>
      </c>
      <c r="I426" s="73"/>
      <c r="J426" s="73"/>
      <c r="K426" s="73"/>
      <c r="L426" s="73"/>
      <c r="M426" s="73"/>
      <c r="N426" s="73"/>
      <c r="O426" s="73"/>
    </row>
    <row r="427" spans="3:15" x14ac:dyDescent="0.2">
      <c r="C427" s="9" t="s">
        <v>94</v>
      </c>
      <c r="D427" s="1" t="s">
        <v>61</v>
      </c>
      <c r="E427" s="1"/>
      <c r="I427" s="73"/>
      <c r="J427" s="73"/>
      <c r="K427" s="73"/>
      <c r="L427" s="73"/>
      <c r="M427" s="73"/>
      <c r="N427" s="73"/>
      <c r="O427" s="73"/>
    </row>
    <row r="428" spans="3:15" x14ac:dyDescent="0.2">
      <c r="C428" s="9"/>
      <c r="D428" s="4">
        <f>0.5*D415</f>
        <v>29</v>
      </c>
      <c r="E428" s="1" t="s">
        <v>11</v>
      </c>
      <c r="I428" s="73"/>
      <c r="J428" s="73"/>
      <c r="K428" s="73"/>
      <c r="L428" s="73"/>
      <c r="M428" s="73"/>
      <c r="N428" s="73"/>
      <c r="O428" s="73"/>
    </row>
    <row r="429" spans="3:15" x14ac:dyDescent="0.2">
      <c r="C429" s="9" t="s">
        <v>95</v>
      </c>
      <c r="D429" s="1" t="s">
        <v>58</v>
      </c>
      <c r="E429" s="1"/>
      <c r="I429" s="73"/>
      <c r="J429" s="73"/>
      <c r="K429" s="73"/>
      <c r="L429" s="73"/>
      <c r="M429" s="73"/>
      <c r="N429" s="73"/>
      <c r="O429" s="73"/>
    </row>
    <row r="430" spans="3:15" x14ac:dyDescent="0.2">
      <c r="C430" s="9"/>
      <c r="D430" s="4">
        <f>0.6*D416</f>
        <v>21.599999999999998</v>
      </c>
      <c r="E430" s="1" t="s">
        <v>11</v>
      </c>
      <c r="I430" s="73"/>
      <c r="J430" s="73"/>
      <c r="K430" s="73"/>
      <c r="L430" s="73"/>
      <c r="M430" s="73"/>
      <c r="N430" s="73"/>
      <c r="O430" s="73"/>
    </row>
    <row r="431" spans="3:15" x14ac:dyDescent="0.2">
      <c r="C431" s="9" t="s">
        <v>183</v>
      </c>
      <c r="D431" s="1" t="s">
        <v>148</v>
      </c>
      <c r="E431" s="1"/>
      <c r="I431" s="73"/>
      <c r="J431" s="73"/>
      <c r="K431" s="73"/>
      <c r="L431" s="73"/>
      <c r="M431" s="73"/>
      <c r="N431" s="73"/>
      <c r="O431" s="73"/>
    </row>
    <row r="432" spans="3:15" x14ac:dyDescent="0.2">
      <c r="C432" s="1"/>
      <c r="D432" s="8">
        <f>D415 * D420 / (2 * D417)</f>
        <v>139.19999999999999</v>
      </c>
      <c r="E432" s="1" t="s">
        <v>11</v>
      </c>
      <c r="I432" s="73"/>
      <c r="J432" s="73"/>
      <c r="K432" s="73"/>
      <c r="L432" s="73"/>
      <c r="M432" s="73"/>
      <c r="N432" s="73"/>
      <c r="O432" s="73"/>
    </row>
    <row r="433" spans="3:15" x14ac:dyDescent="0.2">
      <c r="C433" s="9" t="s">
        <v>185</v>
      </c>
      <c r="D433" s="1" t="s">
        <v>188</v>
      </c>
      <c r="E433" s="1"/>
      <c r="I433" s="73"/>
      <c r="J433" s="73"/>
      <c r="K433" s="73"/>
      <c r="L433" s="73"/>
      <c r="M433" s="73"/>
      <c r="N433" s="73"/>
      <c r="O433" s="73"/>
    </row>
    <row r="434" spans="3:15" x14ac:dyDescent="0.2">
      <c r="C434" s="1"/>
      <c r="D434" s="8">
        <f>(D415/2)*((D421/D417)-0.5)</f>
        <v>171.10000000000002</v>
      </c>
      <c r="E434" s="1" t="s">
        <v>11</v>
      </c>
      <c r="I434" s="73"/>
      <c r="J434" s="73"/>
      <c r="K434" s="73"/>
      <c r="L434" s="73"/>
      <c r="M434" s="73"/>
      <c r="N434" s="73"/>
      <c r="O434" s="73"/>
    </row>
    <row r="435" spans="3:15" x14ac:dyDescent="0.2">
      <c r="C435" s="9" t="s">
        <v>184</v>
      </c>
      <c r="D435" s="1" t="s">
        <v>57</v>
      </c>
      <c r="E435" s="1"/>
      <c r="I435" s="73"/>
      <c r="J435" s="73"/>
      <c r="K435" s="73"/>
      <c r="L435" s="73"/>
      <c r="M435" s="73"/>
      <c r="N435" s="73"/>
      <c r="O435" s="73"/>
    </row>
    <row r="436" spans="3:15" x14ac:dyDescent="0.2">
      <c r="C436" s="1"/>
      <c r="D436" s="8">
        <f>1.5*D415</f>
        <v>87</v>
      </c>
      <c r="E436" s="1" t="s">
        <v>11</v>
      </c>
      <c r="I436" s="73"/>
      <c r="J436" s="73"/>
      <c r="K436" s="73"/>
      <c r="L436" s="73"/>
      <c r="M436" s="73"/>
      <c r="N436" s="73"/>
      <c r="O436" s="73"/>
    </row>
    <row r="437" spans="3:15" x14ac:dyDescent="0.2">
      <c r="D437" s="5" t="s">
        <v>66</v>
      </c>
      <c r="I437" s="73"/>
      <c r="J437" s="73"/>
      <c r="K437" s="73"/>
      <c r="L437" s="73"/>
      <c r="M437" s="73"/>
      <c r="N437" s="73"/>
      <c r="O437" s="73"/>
    </row>
    <row r="438" spans="3:15" x14ac:dyDescent="0.2">
      <c r="C438" s="9" t="s">
        <v>9</v>
      </c>
      <c r="D438" s="4" t="s">
        <v>52</v>
      </c>
      <c r="E438" s="1"/>
      <c r="I438" s="73"/>
      <c r="J438" s="73"/>
      <c r="K438" s="73"/>
      <c r="L438" s="73"/>
      <c r="M438" s="73"/>
      <c r="N438" s="73"/>
      <c r="O438" s="73"/>
    </row>
    <row r="439" spans="3:15" x14ac:dyDescent="0.2">
      <c r="C439" s="7" t="s">
        <v>6</v>
      </c>
      <c r="D439" s="8">
        <f>2*D426*D414 * 3.1416 * D417^2 / 4</f>
        <v>117.80999999999999</v>
      </c>
      <c r="E439" s="1" t="s">
        <v>3</v>
      </c>
      <c r="I439" s="73"/>
      <c r="J439" s="73"/>
      <c r="K439" s="73"/>
      <c r="L439" s="73"/>
      <c r="M439" s="73"/>
      <c r="N439" s="73"/>
      <c r="O439" s="73"/>
    </row>
    <row r="440" spans="3:15" x14ac:dyDescent="0.2">
      <c r="D440" s="5" t="s">
        <v>67</v>
      </c>
      <c r="I440" s="73"/>
      <c r="J440" s="73"/>
      <c r="K440" s="73"/>
      <c r="L440" s="73"/>
      <c r="M440" s="73"/>
      <c r="N440" s="73"/>
      <c r="O440" s="73"/>
    </row>
    <row r="441" spans="3:15" x14ac:dyDescent="0.2">
      <c r="C441" s="9" t="s">
        <v>1</v>
      </c>
      <c r="D441" s="4" t="s">
        <v>197</v>
      </c>
      <c r="E441" s="1"/>
      <c r="I441" s="73"/>
      <c r="J441" s="73"/>
      <c r="K441" s="73"/>
      <c r="L441" s="73"/>
      <c r="M441" s="73"/>
      <c r="N441" s="73"/>
      <c r="O441" s="73"/>
    </row>
    <row r="442" spans="3:15" x14ac:dyDescent="0.2">
      <c r="C442" s="9"/>
      <c r="D442" s="23">
        <f>2 * ( D422 + D423)</f>
        <v>14</v>
      </c>
      <c r="E442" s="1" t="s">
        <v>4</v>
      </c>
      <c r="I442" s="73"/>
      <c r="J442" s="73"/>
      <c r="K442" s="73"/>
      <c r="L442" s="73"/>
      <c r="M442" s="73"/>
      <c r="N442" s="73"/>
      <c r="O442" s="73"/>
    </row>
    <row r="443" spans="3:15" x14ac:dyDescent="0.2">
      <c r="C443" s="9" t="s">
        <v>28</v>
      </c>
      <c r="D443" s="4" t="s">
        <v>194</v>
      </c>
      <c r="F443" s="1" t="s">
        <v>23</v>
      </c>
      <c r="H443" s="3"/>
      <c r="I443" s="73"/>
      <c r="J443" s="73"/>
      <c r="K443" s="73"/>
      <c r="L443" s="73"/>
      <c r="M443" s="73"/>
      <c r="N443" s="73"/>
      <c r="O443" s="73"/>
    </row>
    <row r="444" spans="3:15" x14ac:dyDescent="0.2">
      <c r="C444" s="7" t="s">
        <v>6</v>
      </c>
      <c r="D444" s="8">
        <f>D430 * D418 * D442</f>
        <v>226.79999999999998</v>
      </c>
      <c r="E444" s="1" t="s">
        <v>3</v>
      </c>
      <c r="H444" s="3"/>
      <c r="I444" s="73"/>
      <c r="J444" s="73"/>
      <c r="K444" s="73"/>
      <c r="L444" s="73"/>
      <c r="M444" s="73"/>
      <c r="N444" s="73"/>
      <c r="O444" s="73"/>
    </row>
    <row r="445" spans="3:15" x14ac:dyDescent="0.2">
      <c r="C445" s="9" t="s">
        <v>21</v>
      </c>
      <c r="D445" s="4" t="s">
        <v>51</v>
      </c>
      <c r="E445" s="1"/>
      <c r="H445" s="3"/>
      <c r="I445" s="73"/>
      <c r="J445" s="73"/>
      <c r="K445" s="73"/>
      <c r="L445" s="73"/>
      <c r="M445" s="73"/>
      <c r="N445" s="73"/>
      <c r="O445" s="73"/>
    </row>
    <row r="446" spans="3:15" x14ac:dyDescent="0.2">
      <c r="D446" s="23">
        <f>D417+0.125</f>
        <v>0.75</v>
      </c>
      <c r="E446" s="1" t="s">
        <v>4</v>
      </c>
      <c r="H446" s="3"/>
      <c r="I446" s="73"/>
      <c r="J446" s="73"/>
      <c r="K446" s="73"/>
      <c r="L446" s="73"/>
      <c r="M446" s="73"/>
      <c r="N446" s="73"/>
      <c r="O446" s="73"/>
    </row>
    <row r="447" spans="3:15" x14ac:dyDescent="0.2">
      <c r="C447" s="9" t="s">
        <v>60</v>
      </c>
      <c r="D447" s="4" t="s">
        <v>195</v>
      </c>
      <c r="H447" s="3"/>
      <c r="I447" s="73"/>
      <c r="J447" s="73"/>
      <c r="K447" s="73"/>
      <c r="L447" s="73"/>
      <c r="M447" s="73"/>
      <c r="N447" s="73"/>
      <c r="O447" s="73"/>
    </row>
    <row r="448" spans="3:15" x14ac:dyDescent="0.2">
      <c r="C448" s="6" t="s">
        <v>6</v>
      </c>
      <c r="D448" s="8">
        <f>D428*D418*(D442-(3*D446))</f>
        <v>255.5625</v>
      </c>
      <c r="E448" s="1" t="s">
        <v>3</v>
      </c>
      <c r="H448" s="3"/>
      <c r="I448" s="73"/>
      <c r="J448" s="73"/>
      <c r="K448" s="73"/>
      <c r="L448" s="73"/>
      <c r="M448" s="73"/>
      <c r="N448" s="73"/>
      <c r="O448" s="73"/>
    </row>
    <row r="449" spans="1:15" x14ac:dyDescent="0.2">
      <c r="C449" s="9" t="s">
        <v>62</v>
      </c>
      <c r="D449" s="4" t="s">
        <v>141</v>
      </c>
      <c r="E449" s="1"/>
      <c r="H449" s="3"/>
      <c r="I449" s="73"/>
      <c r="J449" s="73"/>
      <c r="K449" s="73"/>
      <c r="L449" s="73"/>
      <c r="M449" s="73"/>
      <c r="N449" s="73"/>
      <c r="O449" s="73"/>
    </row>
    <row r="450" spans="1:15" x14ac:dyDescent="0.2">
      <c r="C450" s="7" t="s">
        <v>6</v>
      </c>
      <c r="D450" s="8">
        <f>$D$426 *D432 * $D$418 * $D$417</f>
        <v>522</v>
      </c>
      <c r="E450" s="1" t="s">
        <v>3</v>
      </c>
      <c r="I450" s="73"/>
      <c r="J450" s="73"/>
      <c r="K450" s="73"/>
      <c r="L450" s="73"/>
      <c r="M450" s="73"/>
      <c r="N450" s="73"/>
      <c r="O450" s="73"/>
    </row>
    <row r="451" spans="1:15" x14ac:dyDescent="0.2">
      <c r="C451" s="9" t="s">
        <v>63</v>
      </c>
      <c r="D451" s="4" t="s">
        <v>142</v>
      </c>
      <c r="E451" s="1"/>
      <c r="I451" s="73"/>
      <c r="J451" s="73"/>
      <c r="K451" s="73"/>
      <c r="L451" s="73"/>
      <c r="M451" s="73"/>
      <c r="N451" s="73"/>
      <c r="O451" s="73"/>
    </row>
    <row r="452" spans="1:15" x14ac:dyDescent="0.2">
      <c r="C452" s="7" t="s">
        <v>6</v>
      </c>
      <c r="D452" s="8">
        <f>$D$426 *D434 * $D$418 * $D$417</f>
        <v>641.62500000000011</v>
      </c>
      <c r="E452" s="1" t="s">
        <v>3</v>
      </c>
      <c r="I452" s="73"/>
      <c r="J452" s="73"/>
      <c r="K452" s="73"/>
      <c r="L452" s="73"/>
      <c r="M452" s="73"/>
      <c r="N452" s="73"/>
      <c r="O452" s="73"/>
    </row>
    <row r="453" spans="1:15" x14ac:dyDescent="0.2">
      <c r="C453" s="9" t="s">
        <v>64</v>
      </c>
      <c r="D453" s="4" t="s">
        <v>143</v>
      </c>
      <c r="E453" s="1"/>
      <c r="I453" s="73"/>
      <c r="J453" s="73"/>
      <c r="K453" s="73"/>
      <c r="L453" s="73"/>
      <c r="M453" s="73"/>
      <c r="N453" s="73"/>
      <c r="O453" s="73"/>
    </row>
    <row r="454" spans="1:15" x14ac:dyDescent="0.2">
      <c r="C454" s="7" t="s">
        <v>6</v>
      </c>
      <c r="D454" s="8">
        <f>$D$426 *D436 * $D$418 * $D$417</f>
        <v>326.25</v>
      </c>
      <c r="E454" s="1" t="s">
        <v>3</v>
      </c>
      <c r="I454" s="73"/>
      <c r="J454" s="73"/>
      <c r="K454" s="73"/>
      <c r="L454" s="73"/>
      <c r="M454" s="73"/>
      <c r="N454" s="73"/>
      <c r="O454" s="73"/>
    </row>
    <row r="455" spans="1:15" x14ac:dyDescent="0.2">
      <c r="I455" s="73"/>
      <c r="J455" s="73"/>
      <c r="K455" s="73"/>
      <c r="L455" s="73"/>
      <c r="M455" s="73"/>
      <c r="N455" s="73"/>
      <c r="O455" s="73"/>
    </row>
    <row r="456" spans="1:15" x14ac:dyDescent="0.2">
      <c r="I456" s="73"/>
      <c r="J456" s="73"/>
      <c r="K456" s="73"/>
      <c r="L456" s="73"/>
      <c r="M456" s="73"/>
      <c r="N456" s="73"/>
      <c r="O456" s="73"/>
    </row>
    <row r="457" spans="1:15" x14ac:dyDescent="0.2">
      <c r="I457" s="73"/>
      <c r="J457" s="73"/>
      <c r="K457" s="73"/>
      <c r="L457" s="73"/>
      <c r="M457" s="73"/>
      <c r="N457" s="73"/>
      <c r="O457" s="73"/>
    </row>
    <row r="458" spans="1:15" ht="13.5" thickBot="1" x14ac:dyDescent="0.25">
      <c r="A458" s="1" t="s">
        <v>86</v>
      </c>
      <c r="D458" s="5" t="s">
        <v>0</v>
      </c>
      <c r="I458" s="73"/>
      <c r="J458" s="73"/>
      <c r="K458" s="73"/>
      <c r="L458" s="73"/>
      <c r="M458" s="73"/>
      <c r="N458" s="73"/>
      <c r="O458" s="73"/>
    </row>
    <row r="459" spans="1:15" x14ac:dyDescent="0.2">
      <c r="C459" s="10" t="s">
        <v>151</v>
      </c>
      <c r="D459" s="80">
        <v>117</v>
      </c>
      <c r="E459" s="11" t="s">
        <v>3</v>
      </c>
      <c r="I459" s="73"/>
      <c r="J459" s="73"/>
      <c r="K459" s="73"/>
      <c r="L459" s="73"/>
      <c r="M459" s="73"/>
      <c r="N459" s="73"/>
      <c r="O459" s="73"/>
    </row>
    <row r="460" spans="1:15" ht="13.5" thickBot="1" x14ac:dyDescent="0.25">
      <c r="C460" s="2" t="s">
        <v>25</v>
      </c>
      <c r="D460" s="71">
        <v>50</v>
      </c>
      <c r="E460" s="1" t="s">
        <v>3</v>
      </c>
      <c r="I460" s="73"/>
      <c r="J460" s="73"/>
      <c r="K460" s="73"/>
      <c r="L460" s="73"/>
      <c r="M460" s="73"/>
      <c r="N460" s="73"/>
      <c r="O460" s="73"/>
    </row>
    <row r="461" spans="1:15" x14ac:dyDescent="0.2">
      <c r="D461" s="5" t="s">
        <v>5</v>
      </c>
      <c r="I461" s="73"/>
      <c r="J461" s="73"/>
      <c r="K461" s="73"/>
      <c r="L461" s="73"/>
      <c r="M461" s="73"/>
      <c r="N461" s="73"/>
      <c r="O461" s="73"/>
    </row>
    <row r="462" spans="1:15" x14ac:dyDescent="0.2">
      <c r="C462" s="9" t="s">
        <v>13</v>
      </c>
      <c r="D462" s="4" t="s">
        <v>32</v>
      </c>
      <c r="I462" s="73"/>
      <c r="J462" s="73"/>
      <c r="K462" s="73"/>
      <c r="L462" s="73"/>
      <c r="M462" s="73"/>
      <c r="N462" s="73"/>
      <c r="O462" s="73"/>
    </row>
    <row r="463" spans="1:15" x14ac:dyDescent="0.2">
      <c r="B463" s="11"/>
      <c r="C463" s="7" t="s">
        <v>6</v>
      </c>
      <c r="D463" s="12">
        <f>D459 / D444</f>
        <v>0.51587301587301593</v>
      </c>
      <c r="I463" s="73"/>
      <c r="J463" s="73"/>
      <c r="K463" s="73"/>
      <c r="L463" s="73"/>
      <c r="M463" s="73"/>
      <c r="N463" s="73"/>
      <c r="O463" s="73"/>
    </row>
    <row r="464" spans="1:15" x14ac:dyDescent="0.2">
      <c r="C464" s="9" t="s">
        <v>26</v>
      </c>
      <c r="D464" s="4" t="s">
        <v>247</v>
      </c>
      <c r="I464" s="73"/>
      <c r="J464" s="73"/>
      <c r="K464" s="73"/>
      <c r="L464" s="73"/>
      <c r="M464" s="73"/>
      <c r="N464" s="73"/>
      <c r="O464" s="73"/>
    </row>
    <row r="465" spans="3:15" x14ac:dyDescent="0.2">
      <c r="C465" s="7" t="s">
        <v>6</v>
      </c>
      <c r="D465" s="8">
        <f>D459/D460</f>
        <v>2.34</v>
      </c>
      <c r="I465" s="73"/>
      <c r="J465" s="73"/>
      <c r="K465" s="73"/>
      <c r="L465" s="73"/>
      <c r="M465" s="73"/>
      <c r="N465" s="73"/>
      <c r="O465" s="73"/>
    </row>
    <row r="466" spans="3:15" x14ac:dyDescent="0.2">
      <c r="I466" s="73"/>
      <c r="J466" s="73"/>
      <c r="K466" s="73"/>
      <c r="L466" s="73"/>
      <c r="M466" s="73"/>
      <c r="N466" s="73"/>
      <c r="O466" s="73"/>
    </row>
    <row r="467" spans="3:15" x14ac:dyDescent="0.2">
      <c r="I467" s="73"/>
      <c r="J467" s="73"/>
      <c r="K467" s="73"/>
      <c r="L467" s="73"/>
      <c r="M467" s="73"/>
      <c r="N467" s="73"/>
      <c r="O467" s="73"/>
    </row>
    <row r="468" spans="3:15" x14ac:dyDescent="0.2">
      <c r="I468" s="73"/>
      <c r="J468" s="73"/>
      <c r="K468" s="73"/>
      <c r="L468" s="73"/>
      <c r="M468" s="73"/>
      <c r="N468" s="73"/>
      <c r="O468" s="73"/>
    </row>
    <row r="469" spans="3:15" x14ac:dyDescent="0.2">
      <c r="I469" s="73"/>
      <c r="J469" s="73"/>
      <c r="K469" s="73"/>
      <c r="L469" s="73"/>
      <c r="M469" s="73"/>
      <c r="N469" s="73"/>
      <c r="O469" s="73"/>
    </row>
    <row r="470" spans="3:15" x14ac:dyDescent="0.2">
      <c r="I470" s="73"/>
      <c r="J470" s="73"/>
      <c r="K470" s="73"/>
      <c r="L470" s="73"/>
      <c r="M470" s="73"/>
      <c r="N470" s="73"/>
      <c r="O470" s="73"/>
    </row>
    <row r="471" spans="3:15" x14ac:dyDescent="0.2">
      <c r="I471" s="73"/>
      <c r="J471" s="73"/>
      <c r="K471" s="73"/>
      <c r="L471" s="73"/>
      <c r="M471" s="73"/>
      <c r="N471" s="73"/>
      <c r="O471" s="73"/>
    </row>
    <row r="472" spans="3:15" x14ac:dyDescent="0.2">
      <c r="I472" s="73"/>
      <c r="J472" s="73"/>
      <c r="K472" s="73"/>
      <c r="L472" s="73"/>
      <c r="M472" s="73"/>
      <c r="N472" s="73"/>
      <c r="O472" s="73"/>
    </row>
    <row r="473" spans="3:15" x14ac:dyDescent="0.2">
      <c r="I473" s="73"/>
      <c r="J473" s="73"/>
      <c r="K473" s="73"/>
      <c r="L473" s="73"/>
      <c r="M473" s="73"/>
      <c r="N473" s="73"/>
      <c r="O473" s="73"/>
    </row>
    <row r="474" spans="3:15" x14ac:dyDescent="0.2">
      <c r="I474" s="73"/>
      <c r="J474" s="73"/>
      <c r="K474" s="73"/>
      <c r="L474" s="73"/>
      <c r="M474" s="73"/>
      <c r="N474" s="73"/>
      <c r="O474" s="73"/>
    </row>
    <row r="475" spans="3:15" x14ac:dyDescent="0.2">
      <c r="I475" s="73"/>
      <c r="J475" s="73"/>
      <c r="K475" s="73"/>
      <c r="L475" s="73"/>
      <c r="M475" s="73"/>
      <c r="N475" s="73"/>
      <c r="O475" s="73"/>
    </row>
    <row r="476" spans="3:15" x14ac:dyDescent="0.2">
      <c r="I476" s="73"/>
      <c r="J476" s="73"/>
      <c r="K476" s="73"/>
      <c r="L476" s="73"/>
      <c r="M476" s="73"/>
      <c r="N476" s="73"/>
      <c r="O476" s="73"/>
    </row>
    <row r="477" spans="3:15" x14ac:dyDescent="0.2">
      <c r="I477" s="73"/>
      <c r="J477" s="73"/>
      <c r="K477" s="73"/>
      <c r="L477" s="73"/>
      <c r="M477" s="73"/>
      <c r="N477" s="73"/>
      <c r="O477" s="73"/>
    </row>
    <row r="478" spans="3:15" x14ac:dyDescent="0.2">
      <c r="I478" s="73"/>
      <c r="J478" s="73"/>
      <c r="K478" s="73"/>
      <c r="L478" s="73"/>
      <c r="M478" s="73"/>
      <c r="N478" s="73"/>
      <c r="O478" s="73"/>
    </row>
    <row r="479" spans="3:15" x14ac:dyDescent="0.2">
      <c r="I479" s="73"/>
      <c r="J479" s="73"/>
      <c r="K479" s="73"/>
      <c r="L479" s="73"/>
      <c r="M479" s="73"/>
      <c r="N479" s="73"/>
      <c r="O479" s="73"/>
    </row>
    <row r="480" spans="3:15" x14ac:dyDescent="0.2">
      <c r="I480" s="73"/>
      <c r="J480" s="73"/>
      <c r="K480" s="73"/>
      <c r="L480" s="73"/>
      <c r="M480" s="73"/>
      <c r="N480" s="73"/>
      <c r="O480" s="73"/>
    </row>
    <row r="481" spans="4:15" x14ac:dyDescent="0.2">
      <c r="I481" s="73"/>
      <c r="J481" s="73"/>
      <c r="K481" s="73"/>
      <c r="L481" s="73"/>
      <c r="M481" s="73"/>
      <c r="N481" s="73"/>
      <c r="O481" s="73"/>
    </row>
    <row r="482" spans="4:15" x14ac:dyDescent="0.2">
      <c r="I482" s="73"/>
      <c r="J482" s="73"/>
      <c r="K482" s="73"/>
      <c r="L482" s="73"/>
      <c r="M482" s="73"/>
      <c r="N482" s="73"/>
      <c r="O482" s="73"/>
    </row>
    <row r="483" spans="4:15" x14ac:dyDescent="0.2">
      <c r="I483" s="73"/>
      <c r="J483" s="73"/>
      <c r="K483" s="73"/>
      <c r="L483" s="73"/>
      <c r="M483" s="73"/>
      <c r="N483" s="73"/>
      <c r="O483" s="73"/>
    </row>
    <row r="484" spans="4:15" x14ac:dyDescent="0.2">
      <c r="I484" s="73"/>
      <c r="J484" s="73"/>
      <c r="K484" s="73"/>
      <c r="L484" s="73"/>
      <c r="M484" s="73"/>
      <c r="N484" s="73"/>
      <c r="O484" s="73"/>
    </row>
    <row r="485" spans="4:15" x14ac:dyDescent="0.2">
      <c r="I485" s="73"/>
      <c r="J485" s="73"/>
      <c r="K485" s="73"/>
      <c r="L485" s="73"/>
      <c r="M485" s="73"/>
      <c r="N485" s="73"/>
      <c r="O485" s="73"/>
    </row>
    <row r="486" spans="4:15" x14ac:dyDescent="0.2">
      <c r="I486" s="73"/>
      <c r="J486" s="73"/>
      <c r="K486" s="73"/>
      <c r="L486" s="73"/>
      <c r="M486" s="73"/>
      <c r="N486" s="73"/>
      <c r="O486" s="73"/>
    </row>
    <row r="487" spans="4:15" x14ac:dyDescent="0.2">
      <c r="I487" s="73"/>
      <c r="J487" s="73"/>
      <c r="K487" s="73"/>
      <c r="L487" s="73"/>
      <c r="M487" s="73"/>
      <c r="N487" s="73"/>
      <c r="O487" s="73"/>
    </row>
    <row r="488" spans="4:15" x14ac:dyDescent="0.2">
      <c r="D488" s="5"/>
      <c r="I488" s="73"/>
      <c r="J488" s="73"/>
      <c r="K488" s="73"/>
      <c r="L488" s="73"/>
      <c r="M488" s="73"/>
      <c r="N488" s="73"/>
      <c r="O488" s="73"/>
    </row>
    <row r="489" spans="4:15" x14ac:dyDescent="0.2">
      <c r="I489" s="73"/>
      <c r="J489" s="73"/>
      <c r="K489" s="73"/>
      <c r="L489" s="73"/>
      <c r="M489" s="73"/>
      <c r="N489" s="73"/>
      <c r="O489" s="73"/>
    </row>
    <row r="490" spans="4:15" x14ac:dyDescent="0.2">
      <c r="I490" s="73"/>
      <c r="J490" s="73"/>
      <c r="K490" s="73"/>
      <c r="L490" s="73"/>
      <c r="M490" s="73"/>
      <c r="N490" s="73"/>
      <c r="O490" s="73"/>
    </row>
    <row r="491" spans="4:15" x14ac:dyDescent="0.2">
      <c r="I491" s="73"/>
      <c r="J491" s="73"/>
      <c r="K491" s="73"/>
      <c r="L491" s="73"/>
      <c r="M491" s="73"/>
      <c r="N491" s="73"/>
      <c r="O491" s="73"/>
    </row>
    <row r="492" spans="4:15" x14ac:dyDescent="0.2">
      <c r="I492" s="73"/>
      <c r="J492" s="73"/>
      <c r="K492" s="73"/>
      <c r="L492" s="73"/>
      <c r="M492" s="73"/>
      <c r="N492" s="73"/>
      <c r="O492" s="73"/>
    </row>
    <row r="493" spans="4:15" x14ac:dyDescent="0.2">
      <c r="D493" s="14"/>
      <c r="I493" s="73"/>
      <c r="J493" s="73"/>
      <c r="K493" s="73"/>
      <c r="L493" s="73"/>
      <c r="M493" s="73"/>
      <c r="N493" s="73"/>
      <c r="O493" s="73"/>
    </row>
    <row r="494" spans="4:15" x14ac:dyDescent="0.2">
      <c r="I494" s="73"/>
      <c r="J494" s="73"/>
      <c r="K494" s="73"/>
      <c r="L494" s="73"/>
      <c r="M494" s="73"/>
      <c r="N494" s="73"/>
      <c r="O494" s="73"/>
    </row>
    <row r="495" spans="4:15" x14ac:dyDescent="0.2">
      <c r="D495" s="14"/>
      <c r="I495" s="73"/>
      <c r="J495" s="73"/>
      <c r="K495" s="73"/>
      <c r="L495" s="73"/>
      <c r="M495" s="73"/>
      <c r="N495" s="73"/>
      <c r="O495" s="73"/>
    </row>
    <row r="496" spans="4:15" x14ac:dyDescent="0.2">
      <c r="D496" s="14"/>
      <c r="I496" s="73"/>
      <c r="J496" s="73"/>
      <c r="K496" s="73"/>
      <c r="L496" s="73"/>
      <c r="M496" s="73"/>
      <c r="N496" s="73"/>
      <c r="O496" s="73"/>
    </row>
    <row r="497" spans="3:15" x14ac:dyDescent="0.2">
      <c r="D497" s="14"/>
      <c r="I497" s="73"/>
      <c r="J497" s="73"/>
      <c r="K497" s="73"/>
      <c r="L497" s="73"/>
      <c r="M497" s="73"/>
      <c r="N497" s="73"/>
      <c r="O497" s="73"/>
    </row>
    <row r="498" spans="3:15" x14ac:dyDescent="0.2">
      <c r="D498" s="14"/>
      <c r="I498" s="73"/>
      <c r="J498" s="73"/>
      <c r="K498" s="73"/>
      <c r="L498" s="73"/>
      <c r="M498" s="73"/>
      <c r="N498" s="73"/>
      <c r="O498" s="73"/>
    </row>
    <row r="499" spans="3:15" x14ac:dyDescent="0.2">
      <c r="D499" s="14"/>
      <c r="I499" s="73"/>
      <c r="J499" s="73"/>
      <c r="K499" s="73"/>
      <c r="L499" s="73"/>
      <c r="M499" s="73"/>
      <c r="N499" s="73"/>
      <c r="O499" s="73"/>
    </row>
    <row r="500" spans="3:15" x14ac:dyDescent="0.2">
      <c r="D500" s="5"/>
      <c r="I500" s="73"/>
      <c r="J500" s="73"/>
      <c r="K500" s="73"/>
      <c r="L500" s="73"/>
      <c r="M500" s="73"/>
      <c r="N500" s="73"/>
      <c r="O500" s="73"/>
    </row>
    <row r="501" spans="3:15" x14ac:dyDescent="0.2">
      <c r="I501" s="73"/>
      <c r="J501" s="73"/>
      <c r="K501" s="73"/>
      <c r="L501" s="73"/>
      <c r="M501" s="73"/>
      <c r="N501" s="73"/>
      <c r="O501" s="73"/>
    </row>
    <row r="502" spans="3:15" x14ac:dyDescent="0.2">
      <c r="I502" s="73"/>
      <c r="J502" s="73"/>
      <c r="K502" s="73"/>
      <c r="L502" s="73"/>
      <c r="M502" s="73"/>
      <c r="N502" s="73"/>
      <c r="O502" s="73"/>
    </row>
    <row r="503" spans="3:15" x14ac:dyDescent="0.2">
      <c r="I503" s="73"/>
      <c r="J503" s="73"/>
      <c r="K503" s="73"/>
      <c r="L503" s="73"/>
      <c r="M503" s="73"/>
      <c r="N503" s="73"/>
      <c r="O503" s="73"/>
    </row>
    <row r="504" spans="3:15" x14ac:dyDescent="0.2">
      <c r="I504" s="73"/>
      <c r="J504" s="73"/>
      <c r="K504" s="73"/>
      <c r="L504" s="73"/>
      <c r="M504" s="73"/>
      <c r="N504" s="73"/>
      <c r="O504" s="73"/>
    </row>
    <row r="505" spans="3:15" x14ac:dyDescent="0.2">
      <c r="I505" s="73"/>
      <c r="J505" s="73"/>
      <c r="K505" s="73"/>
      <c r="L505" s="73"/>
      <c r="M505" s="73"/>
      <c r="N505" s="73"/>
      <c r="O505" s="73"/>
    </row>
    <row r="506" spans="3:15" x14ac:dyDescent="0.2">
      <c r="I506" s="73"/>
      <c r="J506" s="73"/>
      <c r="K506" s="73"/>
      <c r="L506" s="73"/>
      <c r="M506" s="73"/>
      <c r="N506" s="73"/>
      <c r="O506" s="73"/>
    </row>
    <row r="507" spans="3:15" x14ac:dyDescent="0.2">
      <c r="I507" s="73"/>
      <c r="J507" s="73"/>
      <c r="K507" s="73"/>
      <c r="L507" s="73"/>
      <c r="M507" s="73"/>
      <c r="N507" s="73"/>
      <c r="O507" s="73"/>
    </row>
    <row r="508" spans="3:15" x14ac:dyDescent="0.2">
      <c r="I508" s="73"/>
      <c r="J508" s="73"/>
      <c r="K508" s="73"/>
      <c r="L508" s="73"/>
      <c r="M508" s="73"/>
      <c r="N508" s="73"/>
      <c r="O508" s="73"/>
    </row>
    <row r="509" spans="3:15" ht="13.5" thickBot="1" x14ac:dyDescent="0.25">
      <c r="C509" s="9"/>
      <c r="D509" s="5" t="s">
        <v>0</v>
      </c>
      <c r="E509" s="1"/>
      <c r="I509" s="73"/>
      <c r="J509" s="73"/>
      <c r="K509" s="73"/>
      <c r="L509" s="73"/>
      <c r="M509" s="73"/>
      <c r="N509" s="73"/>
      <c r="O509" s="73"/>
    </row>
    <row r="510" spans="3:15" x14ac:dyDescent="0.2">
      <c r="C510" s="10" t="s">
        <v>289</v>
      </c>
      <c r="D510" s="101">
        <v>18000</v>
      </c>
      <c r="E510" s="15" t="s">
        <v>40</v>
      </c>
      <c r="I510" s="73"/>
      <c r="J510" s="73"/>
      <c r="K510" s="73"/>
      <c r="L510" s="73"/>
      <c r="M510" s="73"/>
      <c r="N510" s="73"/>
      <c r="O510" s="73"/>
    </row>
    <row r="511" spans="3:15" x14ac:dyDescent="0.2">
      <c r="C511" s="10" t="s">
        <v>285</v>
      </c>
      <c r="D511" s="70">
        <v>10</v>
      </c>
      <c r="E511" s="11" t="s">
        <v>4</v>
      </c>
      <c r="I511" s="73"/>
      <c r="J511" s="74"/>
      <c r="K511" s="73"/>
      <c r="L511" s="74"/>
      <c r="M511" s="73"/>
      <c r="N511" s="73"/>
      <c r="O511" s="73"/>
    </row>
    <row r="512" spans="3:15" x14ac:dyDescent="0.2">
      <c r="C512" s="10" t="s">
        <v>42</v>
      </c>
      <c r="D512" s="78">
        <v>9</v>
      </c>
      <c r="G512" s="25" t="s">
        <v>73</v>
      </c>
      <c r="H512" s="25" t="s">
        <v>74</v>
      </c>
      <c r="I512" s="73"/>
      <c r="J512" s="15"/>
      <c r="K512" s="73"/>
      <c r="L512" s="89"/>
      <c r="M512" s="73"/>
      <c r="N512" s="73"/>
      <c r="O512" s="73"/>
    </row>
    <row r="513" spans="3:15" ht="15" thickBot="1" x14ac:dyDescent="0.25">
      <c r="C513" s="2" t="s">
        <v>46</v>
      </c>
      <c r="D513" s="78">
        <v>0.5</v>
      </c>
      <c r="E513" t="s">
        <v>4</v>
      </c>
      <c r="G513" s="21"/>
      <c r="H513" s="21" t="s">
        <v>85</v>
      </c>
      <c r="I513" s="73"/>
      <c r="J513" s="15"/>
      <c r="K513" s="73"/>
      <c r="L513" s="88"/>
      <c r="M513" s="73"/>
      <c r="N513" s="73"/>
      <c r="O513" s="73"/>
    </row>
    <row r="514" spans="3:15" ht="13.5" thickBot="1" x14ac:dyDescent="0.25">
      <c r="C514" s="2" t="s">
        <v>150</v>
      </c>
      <c r="D514" s="78">
        <v>75</v>
      </c>
      <c r="E514" s="15" t="s">
        <v>41</v>
      </c>
      <c r="G514" s="29" t="s">
        <v>75</v>
      </c>
      <c r="H514" s="51" t="s">
        <v>181</v>
      </c>
      <c r="I514" s="73" t="s">
        <v>29</v>
      </c>
      <c r="J514" s="15"/>
      <c r="K514" s="73"/>
      <c r="L514" s="86"/>
      <c r="M514" s="73"/>
      <c r="N514" s="73"/>
      <c r="O514" s="73"/>
    </row>
    <row r="515" spans="3:15" x14ac:dyDescent="0.2">
      <c r="C515" s="2" t="s">
        <v>36</v>
      </c>
      <c r="D515" s="78">
        <v>0.5</v>
      </c>
      <c r="E515" s="15" t="s">
        <v>4</v>
      </c>
      <c r="G515" t="s">
        <v>76</v>
      </c>
      <c r="H515" s="24">
        <v>17.5</v>
      </c>
      <c r="I515" s="73"/>
      <c r="J515" s="15"/>
      <c r="K515" s="73"/>
      <c r="L515" s="111"/>
      <c r="M515" s="73"/>
      <c r="N515" s="73"/>
      <c r="O515" s="73"/>
    </row>
    <row r="516" spans="3:15" x14ac:dyDescent="0.2">
      <c r="C516" s="2" t="s">
        <v>37</v>
      </c>
      <c r="D516" s="78">
        <v>0.5</v>
      </c>
      <c r="E516" s="15" t="s">
        <v>4</v>
      </c>
      <c r="G516" t="s">
        <v>77</v>
      </c>
      <c r="H516" s="24">
        <v>22</v>
      </c>
      <c r="I516" s="73"/>
      <c r="J516" s="15"/>
      <c r="K516" s="73"/>
      <c r="L516" s="111"/>
      <c r="M516" s="73"/>
      <c r="N516" s="73"/>
      <c r="O516" s="73"/>
    </row>
    <row r="517" spans="3:15" x14ac:dyDescent="0.2">
      <c r="C517" s="2" t="s">
        <v>33</v>
      </c>
      <c r="D517" s="78">
        <v>1</v>
      </c>
      <c r="E517" s="15" t="s">
        <v>4</v>
      </c>
      <c r="H517" s="24"/>
      <c r="I517" s="73"/>
      <c r="J517" s="15"/>
      <c r="K517" s="73"/>
      <c r="L517" s="111"/>
      <c r="M517" s="73"/>
      <c r="N517" s="73"/>
      <c r="O517" s="73"/>
    </row>
    <row r="518" spans="3:15" ht="13.5" thickBot="1" x14ac:dyDescent="0.25">
      <c r="C518" s="16" t="s">
        <v>34</v>
      </c>
      <c r="D518" s="78">
        <v>2.5</v>
      </c>
      <c r="E518" s="15" t="s">
        <v>4</v>
      </c>
      <c r="G518" s="21" t="s">
        <v>78</v>
      </c>
      <c r="H518" s="51" t="s">
        <v>181</v>
      </c>
      <c r="I518" s="73"/>
      <c r="J518" s="15"/>
      <c r="K518" s="73"/>
      <c r="L518" s="111"/>
      <c r="M518" s="73"/>
      <c r="N518" s="73"/>
      <c r="O518" s="73"/>
    </row>
    <row r="519" spans="3:15" x14ac:dyDescent="0.2">
      <c r="C519" s="2" t="s">
        <v>35</v>
      </c>
      <c r="D519" s="78">
        <v>3</v>
      </c>
      <c r="E519" s="15" t="s">
        <v>4</v>
      </c>
      <c r="G519" t="s">
        <v>79</v>
      </c>
      <c r="H519" s="24">
        <v>10</v>
      </c>
      <c r="I519" s="73"/>
      <c r="J519" s="15"/>
      <c r="K519" s="73"/>
      <c r="L519" s="111"/>
      <c r="M519" s="73"/>
      <c r="N519" s="73"/>
      <c r="O519" s="73"/>
    </row>
    <row r="520" spans="3:15" ht="14.25" x14ac:dyDescent="0.2">
      <c r="C520" s="10" t="s">
        <v>38</v>
      </c>
      <c r="D520" s="78">
        <v>1</v>
      </c>
      <c r="E520" s="15" t="s">
        <v>4</v>
      </c>
      <c r="G520" t="s">
        <v>80</v>
      </c>
      <c r="H520" s="24">
        <v>21</v>
      </c>
      <c r="I520" s="73"/>
      <c r="J520" s="15"/>
      <c r="K520" s="73"/>
      <c r="L520" s="111"/>
      <c r="M520" s="73"/>
      <c r="N520" s="73"/>
      <c r="O520" s="73"/>
    </row>
    <row r="521" spans="3:15" ht="14.25" x14ac:dyDescent="0.2">
      <c r="C521" s="10" t="s">
        <v>39</v>
      </c>
      <c r="D521" s="78">
        <v>2.5</v>
      </c>
      <c r="E521" s="15" t="s">
        <v>4</v>
      </c>
      <c r="G521" t="s">
        <v>81</v>
      </c>
      <c r="H521" s="24">
        <v>30</v>
      </c>
      <c r="I521" s="73"/>
      <c r="J521" s="15"/>
      <c r="K521" s="73"/>
      <c r="L521" s="111"/>
      <c r="M521" s="73"/>
      <c r="N521" s="73"/>
      <c r="O521" s="73"/>
    </row>
    <row r="522" spans="3:15" ht="15" thickBot="1" x14ac:dyDescent="0.25">
      <c r="C522" s="10" t="s">
        <v>294</v>
      </c>
      <c r="D522" s="79">
        <v>2.5</v>
      </c>
      <c r="E522" s="15" t="s">
        <v>4</v>
      </c>
      <c r="G522" t="s">
        <v>82</v>
      </c>
      <c r="H522" s="24">
        <v>28</v>
      </c>
      <c r="I522" s="73"/>
      <c r="J522" s="15"/>
      <c r="K522" s="73"/>
      <c r="L522" s="111"/>
      <c r="M522" s="73"/>
      <c r="N522" s="73"/>
      <c r="O522" s="73"/>
    </row>
    <row r="523" spans="3:15" ht="14.25" x14ac:dyDescent="0.2">
      <c r="C523" s="2" t="s">
        <v>29</v>
      </c>
      <c r="D523" s="5" t="s">
        <v>5</v>
      </c>
      <c r="E523" s="15"/>
      <c r="G523" t="s">
        <v>90</v>
      </c>
      <c r="H523" s="24">
        <v>40</v>
      </c>
      <c r="I523" s="73"/>
      <c r="J523" s="73"/>
      <c r="K523" s="73"/>
      <c r="L523" s="73"/>
      <c r="M523" s="73"/>
      <c r="N523" s="73"/>
      <c r="O523" s="73"/>
    </row>
    <row r="524" spans="3:15" x14ac:dyDescent="0.2">
      <c r="C524" s="9" t="s">
        <v>296</v>
      </c>
      <c r="D524" s="4" t="s">
        <v>295</v>
      </c>
      <c r="E524" s="1"/>
      <c r="G524" t="s">
        <v>83</v>
      </c>
      <c r="H524" s="24">
        <v>17.5</v>
      </c>
      <c r="I524" s="73"/>
      <c r="J524" s="73"/>
      <c r="K524" s="73"/>
      <c r="L524" s="73"/>
      <c r="M524" s="73"/>
      <c r="N524" s="73"/>
      <c r="O524" s="73"/>
    </row>
    <row r="525" spans="3:15" ht="13.5" thickBot="1" x14ac:dyDescent="0.25">
      <c r="C525" s="9" t="s">
        <v>45</v>
      </c>
      <c r="D525" s="4" t="s">
        <v>290</v>
      </c>
      <c r="E525" s="1"/>
      <c r="G525" s="30" t="s">
        <v>84</v>
      </c>
      <c r="H525" s="27">
        <v>22</v>
      </c>
      <c r="I525" s="73"/>
      <c r="J525" s="73"/>
      <c r="K525" s="73"/>
      <c r="L525" s="73"/>
      <c r="M525" s="73"/>
      <c r="N525" s="73"/>
      <c r="O525" s="73"/>
    </row>
    <row r="526" spans="3:15" x14ac:dyDescent="0.2">
      <c r="C526" s="9" t="s">
        <v>6</v>
      </c>
      <c r="D526" s="23">
        <f>3.1416*D513^2/4</f>
        <v>0.19635</v>
      </c>
      <c r="E526" s="1" t="s">
        <v>4</v>
      </c>
      <c r="I526" s="73"/>
      <c r="J526" s="73"/>
      <c r="K526" s="73"/>
      <c r="L526" s="73"/>
      <c r="M526" s="73"/>
      <c r="N526" s="73"/>
      <c r="O526" s="73"/>
    </row>
    <row r="527" spans="3:15" ht="14.25" x14ac:dyDescent="0.2">
      <c r="C527" s="9" t="s">
        <v>287</v>
      </c>
      <c r="D527" s="4" t="s">
        <v>288</v>
      </c>
      <c r="E527" s="1"/>
      <c r="I527" s="73"/>
      <c r="J527" s="73"/>
      <c r="K527" s="73"/>
      <c r="L527" s="73"/>
      <c r="M527" s="73"/>
      <c r="N527" s="73"/>
      <c r="O527" s="73"/>
    </row>
    <row r="528" spans="3:15" x14ac:dyDescent="0.2">
      <c r="C528" s="7" t="s">
        <v>6</v>
      </c>
      <c r="D528" s="4">
        <f>G540/(D512*D511)</f>
        <v>1.1999999999999997</v>
      </c>
      <c r="E528" s="1" t="s">
        <v>4</v>
      </c>
      <c r="I528" s="73"/>
      <c r="J528" s="73"/>
      <c r="K528" s="73"/>
      <c r="L528" s="73"/>
      <c r="M528" s="73"/>
      <c r="N528" s="73"/>
      <c r="O528" s="73"/>
    </row>
    <row r="529" spans="1:15" x14ac:dyDescent="0.2">
      <c r="B529" s="1" t="s">
        <v>297</v>
      </c>
      <c r="I529" s="73"/>
      <c r="J529" s="73"/>
      <c r="K529" s="73"/>
      <c r="L529" s="73"/>
      <c r="M529" s="73"/>
      <c r="N529" s="73"/>
      <c r="O529" s="73"/>
    </row>
    <row r="530" spans="1:15" ht="13.5" thickBot="1" x14ac:dyDescent="0.25">
      <c r="A530" s="20" t="s">
        <v>49</v>
      </c>
      <c r="B530" s="20" t="s">
        <v>47</v>
      </c>
      <c r="C530" s="20" t="s">
        <v>314</v>
      </c>
      <c r="D530" s="20" t="s">
        <v>48</v>
      </c>
      <c r="E530" s="21" t="s">
        <v>286</v>
      </c>
      <c r="F530" s="20" t="s">
        <v>69</v>
      </c>
      <c r="G530" s="20" t="s">
        <v>70</v>
      </c>
      <c r="H530" s="20"/>
      <c r="I530" s="73"/>
      <c r="J530" s="73"/>
      <c r="K530" s="73"/>
      <c r="L530" s="73"/>
      <c r="M530" s="73"/>
      <c r="N530" s="73"/>
      <c r="O530" s="73"/>
    </row>
    <row r="531" spans="1:15" x14ac:dyDescent="0.2">
      <c r="A531" s="2">
        <v>1</v>
      </c>
      <c r="B531" s="17">
        <f t="shared" ref="B531:B539" si="0">$D$513</f>
        <v>0.5</v>
      </c>
      <c r="C531" s="17">
        <f t="shared" ref="C531:C539" si="1">3.1416*B531^2/4</f>
        <v>0.19635</v>
      </c>
      <c r="D531" s="17">
        <v>3</v>
      </c>
      <c r="E531" s="107">
        <v>3</v>
      </c>
      <c r="F531" s="14">
        <f>(D531^2+E531^2)^0.5</f>
        <v>4.2426406871192848</v>
      </c>
      <c r="G531" s="24">
        <f>F531^2</f>
        <v>17.999999999999996</v>
      </c>
      <c r="H531" s="26"/>
      <c r="I531" s="73"/>
      <c r="J531" s="73"/>
      <c r="K531" s="73"/>
      <c r="L531" s="73"/>
      <c r="M531" s="73"/>
      <c r="N531" s="73"/>
      <c r="O531" s="73"/>
    </row>
    <row r="532" spans="1:15" x14ac:dyDescent="0.2">
      <c r="A532" s="2">
        <v>2</v>
      </c>
      <c r="B532" s="17">
        <f t="shared" si="0"/>
        <v>0.5</v>
      </c>
      <c r="C532" s="17">
        <f t="shared" si="1"/>
        <v>0.19635</v>
      </c>
      <c r="D532" s="17">
        <v>0</v>
      </c>
      <c r="E532" s="17">
        <v>3</v>
      </c>
      <c r="F532" s="14">
        <f>(D532^2+E532^2)^0.5</f>
        <v>3</v>
      </c>
      <c r="G532" s="24">
        <f>F532^2</f>
        <v>9</v>
      </c>
      <c r="H532" s="26"/>
      <c r="I532" s="73"/>
      <c r="J532" s="73"/>
      <c r="K532" s="73"/>
      <c r="L532" s="73"/>
      <c r="M532" s="73"/>
      <c r="N532" s="73"/>
      <c r="O532" s="73"/>
    </row>
    <row r="533" spans="1:15" x14ac:dyDescent="0.2">
      <c r="A533" s="2">
        <v>3</v>
      </c>
      <c r="B533" s="17">
        <f t="shared" si="0"/>
        <v>0.5</v>
      </c>
      <c r="C533" s="17">
        <f t="shared" si="1"/>
        <v>0.19635</v>
      </c>
      <c r="D533" s="17">
        <v>3</v>
      </c>
      <c r="E533" s="17">
        <v>3</v>
      </c>
      <c r="F533" s="14">
        <f t="shared" ref="F533:F539" si="2">(D533^2+E533^2)^0.5</f>
        <v>4.2426406871192848</v>
      </c>
      <c r="G533" s="24">
        <f>F533^2</f>
        <v>17.999999999999996</v>
      </c>
      <c r="H533" s="26"/>
      <c r="I533" s="73"/>
      <c r="J533" s="73"/>
      <c r="K533" s="73"/>
      <c r="L533" s="73"/>
      <c r="M533" s="73"/>
      <c r="N533" s="73"/>
      <c r="O533" s="73"/>
    </row>
    <row r="534" spans="1:15" x14ac:dyDescent="0.2">
      <c r="A534" s="2">
        <v>4</v>
      </c>
      <c r="B534" s="17">
        <f t="shared" si="0"/>
        <v>0.5</v>
      </c>
      <c r="C534" s="17">
        <f t="shared" si="1"/>
        <v>0.19635</v>
      </c>
      <c r="D534" s="17">
        <v>3</v>
      </c>
      <c r="E534" s="17">
        <v>0</v>
      </c>
      <c r="F534" s="14">
        <f t="shared" si="2"/>
        <v>3</v>
      </c>
      <c r="G534" s="24">
        <f t="shared" ref="G534:G539" si="3">F534^2</f>
        <v>9</v>
      </c>
      <c r="H534" s="26"/>
      <c r="I534" s="73"/>
      <c r="J534" s="73"/>
      <c r="K534" s="73"/>
      <c r="L534" s="73"/>
      <c r="M534" s="73"/>
      <c r="N534" s="73"/>
      <c r="O534" s="73"/>
    </row>
    <row r="535" spans="1:15" x14ac:dyDescent="0.2">
      <c r="A535" s="2">
        <v>5</v>
      </c>
      <c r="B535" s="17">
        <f t="shared" si="0"/>
        <v>0.5</v>
      </c>
      <c r="C535" s="17">
        <f t="shared" si="1"/>
        <v>0.19635</v>
      </c>
      <c r="D535" s="17">
        <v>0</v>
      </c>
      <c r="E535" s="17">
        <v>0</v>
      </c>
      <c r="F535" s="14">
        <f t="shared" si="2"/>
        <v>0</v>
      </c>
      <c r="G535" s="24">
        <f t="shared" si="3"/>
        <v>0</v>
      </c>
      <c r="H535" s="26"/>
      <c r="I535" s="73"/>
      <c r="J535" s="73"/>
      <c r="K535" s="73"/>
      <c r="L535" s="73"/>
      <c r="M535" s="73"/>
      <c r="N535" s="73"/>
      <c r="O535" s="73"/>
    </row>
    <row r="536" spans="1:15" x14ac:dyDescent="0.2">
      <c r="A536" s="2">
        <v>6</v>
      </c>
      <c r="B536" s="17">
        <f t="shared" si="0"/>
        <v>0.5</v>
      </c>
      <c r="C536" s="17">
        <f t="shared" si="1"/>
        <v>0.19635</v>
      </c>
      <c r="D536" s="17">
        <v>3</v>
      </c>
      <c r="E536" s="17">
        <v>0</v>
      </c>
      <c r="F536" s="14">
        <f t="shared" si="2"/>
        <v>3</v>
      </c>
      <c r="G536" s="24">
        <f t="shared" si="3"/>
        <v>9</v>
      </c>
      <c r="H536" s="26"/>
      <c r="I536" s="73"/>
      <c r="J536" s="73"/>
      <c r="K536" s="73"/>
      <c r="L536" s="73"/>
      <c r="M536" s="73"/>
      <c r="N536" s="73"/>
      <c r="O536" s="73"/>
    </row>
    <row r="537" spans="1:15" x14ac:dyDescent="0.2">
      <c r="A537" s="2">
        <v>7</v>
      </c>
      <c r="B537" s="17">
        <f t="shared" si="0"/>
        <v>0.5</v>
      </c>
      <c r="C537" s="17">
        <f t="shared" si="1"/>
        <v>0.19635</v>
      </c>
      <c r="D537" s="17">
        <v>3</v>
      </c>
      <c r="E537" s="17">
        <v>3</v>
      </c>
      <c r="F537" s="14">
        <f t="shared" si="2"/>
        <v>4.2426406871192848</v>
      </c>
      <c r="G537" s="24">
        <f t="shared" si="3"/>
        <v>17.999999999999996</v>
      </c>
      <c r="H537" s="26"/>
      <c r="I537" s="73"/>
      <c r="J537" s="73"/>
      <c r="K537" s="73"/>
      <c r="L537" s="73"/>
      <c r="M537" s="73"/>
      <c r="N537" s="73"/>
      <c r="O537" s="73"/>
    </row>
    <row r="538" spans="1:15" x14ac:dyDescent="0.2">
      <c r="A538" s="2">
        <v>8</v>
      </c>
      <c r="B538" s="17">
        <f t="shared" si="0"/>
        <v>0.5</v>
      </c>
      <c r="C538" s="17">
        <f t="shared" si="1"/>
        <v>0.19635</v>
      </c>
      <c r="D538" s="17">
        <v>0</v>
      </c>
      <c r="E538" s="17">
        <v>3</v>
      </c>
      <c r="F538" s="14">
        <f t="shared" si="2"/>
        <v>3</v>
      </c>
      <c r="G538" s="24">
        <f t="shared" si="3"/>
        <v>9</v>
      </c>
      <c r="H538" s="26"/>
      <c r="J538" s="73"/>
      <c r="K538" s="73"/>
      <c r="L538" s="73"/>
      <c r="M538" s="73"/>
      <c r="N538" s="73"/>
      <c r="O538" s="73"/>
    </row>
    <row r="539" spans="1:15" ht="13.5" thickBot="1" x14ac:dyDescent="0.25">
      <c r="A539" s="18">
        <v>9</v>
      </c>
      <c r="B539" s="19">
        <f t="shared" si="0"/>
        <v>0.5</v>
      </c>
      <c r="C539" s="19">
        <f t="shared" si="1"/>
        <v>0.19635</v>
      </c>
      <c r="D539" s="19">
        <v>3</v>
      </c>
      <c r="E539" s="108">
        <v>3</v>
      </c>
      <c r="F539" s="56">
        <f t="shared" si="2"/>
        <v>4.2426406871192848</v>
      </c>
      <c r="G539" s="27">
        <f t="shared" si="3"/>
        <v>17.999999999999996</v>
      </c>
      <c r="H539" s="30"/>
      <c r="I539" s="73"/>
      <c r="J539" s="73"/>
      <c r="K539" s="73"/>
      <c r="L539" s="73"/>
      <c r="M539" s="73"/>
      <c r="N539" s="73"/>
      <c r="O539" s="73"/>
    </row>
    <row r="540" spans="1:15" ht="14.25" x14ac:dyDescent="0.2">
      <c r="F540" s="10" t="s">
        <v>293</v>
      </c>
      <c r="G540" s="24">
        <f>SUM(G531:G539)</f>
        <v>107.99999999999999</v>
      </c>
      <c r="I540" s="106"/>
      <c r="J540" s="73"/>
      <c r="K540" s="73"/>
      <c r="L540" s="73"/>
      <c r="M540" s="73"/>
      <c r="N540" s="73"/>
      <c r="O540" s="73"/>
    </row>
    <row r="541" spans="1:15" ht="14.25" x14ac:dyDescent="0.2">
      <c r="D541" s="10" t="s">
        <v>291</v>
      </c>
      <c r="E541" s="15" t="s">
        <v>292</v>
      </c>
      <c r="I541" s="106"/>
      <c r="J541" s="73"/>
      <c r="K541" s="73"/>
      <c r="L541" s="73"/>
      <c r="M541" s="73"/>
      <c r="N541" s="73"/>
      <c r="O541" s="73"/>
    </row>
    <row r="542" spans="1:15" x14ac:dyDescent="0.2">
      <c r="D542" s="10" t="s">
        <v>299</v>
      </c>
      <c r="E542" s="100">
        <f>(D510*D511)/G540</f>
        <v>1666.666666666667</v>
      </c>
      <c r="I542" s="106"/>
      <c r="J542" s="73"/>
      <c r="K542" s="73"/>
      <c r="L542" s="73"/>
      <c r="M542" s="73"/>
      <c r="N542" s="73"/>
      <c r="O542" s="73"/>
    </row>
    <row r="543" spans="1:15" x14ac:dyDescent="0.2">
      <c r="I543" s="106"/>
      <c r="J543" s="73"/>
      <c r="K543" s="73"/>
      <c r="L543" s="73"/>
      <c r="M543" s="73"/>
      <c r="N543" s="73"/>
      <c r="O543" s="73"/>
    </row>
    <row r="544" spans="1:15" x14ac:dyDescent="0.2">
      <c r="I544" s="106"/>
      <c r="J544" s="73"/>
      <c r="K544" s="73"/>
      <c r="L544" s="73"/>
      <c r="M544" s="73"/>
      <c r="N544" s="73"/>
      <c r="O544" s="73"/>
    </row>
    <row r="545" spans="1:15" x14ac:dyDescent="0.2">
      <c r="B545" s="1" t="s">
        <v>298</v>
      </c>
      <c r="I545" s="106"/>
      <c r="J545" s="73"/>
      <c r="K545" s="73"/>
      <c r="L545" s="73"/>
      <c r="M545" s="73"/>
      <c r="N545" s="73"/>
      <c r="O545" s="73"/>
    </row>
    <row r="546" spans="1:15" x14ac:dyDescent="0.2">
      <c r="I546" s="106"/>
      <c r="J546" s="73"/>
      <c r="K546" s="73"/>
      <c r="L546" s="73"/>
      <c r="M546" s="73"/>
      <c r="N546" s="73"/>
      <c r="O546" s="73"/>
    </row>
    <row r="547" spans="1:15" ht="13.5" thickBot="1" x14ac:dyDescent="0.25">
      <c r="A547" s="20" t="s">
        <v>49</v>
      </c>
      <c r="B547" s="21" t="s">
        <v>48</v>
      </c>
      <c r="C547" s="21" t="s">
        <v>286</v>
      </c>
      <c r="D547" s="21" t="s">
        <v>69</v>
      </c>
      <c r="E547" s="21" t="s">
        <v>71</v>
      </c>
      <c r="I547" s="106"/>
      <c r="J547" s="73"/>
      <c r="K547" s="73"/>
      <c r="L547" s="73"/>
      <c r="M547" s="73"/>
      <c r="N547" s="73"/>
      <c r="O547" s="73"/>
    </row>
    <row r="548" spans="1:15" x14ac:dyDescent="0.2">
      <c r="A548" s="2">
        <v>1</v>
      </c>
      <c r="B548" s="39">
        <f>D518-D528</f>
        <v>1.3000000000000003</v>
      </c>
      <c r="C548" s="39">
        <f>D522</f>
        <v>2.5</v>
      </c>
      <c r="D548" s="109">
        <f>(B548^2 + C548^2)^0.5</f>
        <v>2.8178005607210741</v>
      </c>
      <c r="E548" s="59">
        <f>$E$542*D548</f>
        <v>4696.3342678684576</v>
      </c>
      <c r="I548" s="73"/>
      <c r="J548" s="73"/>
      <c r="K548" s="73"/>
      <c r="L548" s="73"/>
      <c r="M548" s="73"/>
      <c r="N548" s="73"/>
      <c r="O548" s="73"/>
    </row>
    <row r="549" spans="1:15" x14ac:dyDescent="0.2">
      <c r="A549" s="2">
        <v>2</v>
      </c>
      <c r="B549" s="39">
        <f>D528</f>
        <v>1.1999999999999997</v>
      </c>
      <c r="C549" s="39">
        <f>D522</f>
        <v>2.5</v>
      </c>
      <c r="D549" s="109">
        <f t="shared" ref="D549:D556" si="4">(B549^2 + C549^2)^0.5</f>
        <v>2.7730849247724092</v>
      </c>
      <c r="E549" s="59">
        <f t="shared" ref="E549:E556" si="5">$E$542*D549</f>
        <v>4621.8082079540163</v>
      </c>
      <c r="I549" s="73"/>
      <c r="J549" s="73"/>
      <c r="K549" s="73"/>
      <c r="L549" s="73"/>
      <c r="M549" s="73"/>
      <c r="N549" s="73"/>
      <c r="O549" s="73"/>
    </row>
    <row r="550" spans="1:15" x14ac:dyDescent="0.2">
      <c r="A550" s="2">
        <v>3</v>
      </c>
      <c r="B550" s="39">
        <f>D519+D528</f>
        <v>4.1999999999999993</v>
      </c>
      <c r="C550" s="39">
        <f>D522</f>
        <v>2.5</v>
      </c>
      <c r="D550" s="109">
        <f t="shared" si="4"/>
        <v>4.8877397639399742</v>
      </c>
      <c r="E550" s="59">
        <f t="shared" si="5"/>
        <v>8146.2329398999582</v>
      </c>
      <c r="I550" s="73"/>
      <c r="J550" s="73"/>
      <c r="K550" s="73"/>
      <c r="L550" s="73"/>
      <c r="M550" s="73"/>
      <c r="N550" s="73"/>
      <c r="O550" s="73"/>
    </row>
    <row r="551" spans="1:15" x14ac:dyDescent="0.2">
      <c r="A551" s="2">
        <v>4</v>
      </c>
      <c r="B551" s="39">
        <f>D518-D528</f>
        <v>1.3000000000000003</v>
      </c>
      <c r="C551" s="39">
        <v>0</v>
      </c>
      <c r="D551" s="109">
        <f t="shared" si="4"/>
        <v>1.3000000000000003</v>
      </c>
      <c r="E551" s="59">
        <f t="shared" si="5"/>
        <v>2166.6666666666674</v>
      </c>
      <c r="I551" s="73"/>
      <c r="N551" s="73"/>
      <c r="O551" s="73"/>
    </row>
    <row r="552" spans="1:15" x14ac:dyDescent="0.2">
      <c r="A552" s="2">
        <v>5</v>
      </c>
      <c r="B552" s="39">
        <f>D528</f>
        <v>1.1999999999999997</v>
      </c>
      <c r="C552" s="39">
        <v>0</v>
      </c>
      <c r="D552" s="109">
        <f t="shared" si="4"/>
        <v>1.1999999999999997</v>
      </c>
      <c r="E552" s="59">
        <f t="shared" si="5"/>
        <v>2000</v>
      </c>
      <c r="L552" s="10"/>
      <c r="M552" s="17"/>
      <c r="N552" s="73"/>
      <c r="O552" s="73"/>
    </row>
    <row r="553" spans="1:15" x14ac:dyDescent="0.2">
      <c r="A553" s="2">
        <v>6</v>
      </c>
      <c r="B553" s="39">
        <f>D519+D528</f>
        <v>4.1999999999999993</v>
      </c>
      <c r="C553" s="39">
        <v>0</v>
      </c>
      <c r="D553" s="109">
        <f t="shared" si="4"/>
        <v>4.1999999999999993</v>
      </c>
      <c r="E553" s="59">
        <f t="shared" si="5"/>
        <v>7000</v>
      </c>
      <c r="J553" s="73"/>
      <c r="K553" s="73"/>
      <c r="L553" s="73"/>
      <c r="M553" s="73"/>
      <c r="N553" s="73"/>
      <c r="O553" s="73"/>
    </row>
    <row r="554" spans="1:15" x14ac:dyDescent="0.2">
      <c r="A554" s="2">
        <v>7</v>
      </c>
      <c r="B554" s="39">
        <f>D518-D528</f>
        <v>1.3000000000000003</v>
      </c>
      <c r="C554" s="39">
        <f>D521</f>
        <v>2.5</v>
      </c>
      <c r="D554" s="109">
        <f t="shared" si="4"/>
        <v>2.8178005607210741</v>
      </c>
      <c r="E554" s="59">
        <f t="shared" si="5"/>
        <v>4696.3342678684576</v>
      </c>
      <c r="I554" s="73"/>
      <c r="J554" s="73"/>
      <c r="K554" s="73"/>
      <c r="L554" s="73"/>
      <c r="M554" s="73"/>
      <c r="N554" s="73"/>
      <c r="O554" s="73"/>
    </row>
    <row r="555" spans="1:15" x14ac:dyDescent="0.2">
      <c r="A555" s="2">
        <v>8</v>
      </c>
      <c r="B555" s="39">
        <f>D528</f>
        <v>1.1999999999999997</v>
      </c>
      <c r="C555" s="39">
        <f>D521</f>
        <v>2.5</v>
      </c>
      <c r="D555" s="109">
        <f t="shared" si="4"/>
        <v>2.7730849247724092</v>
      </c>
      <c r="E555" s="59">
        <f t="shared" si="5"/>
        <v>4621.8082079540163</v>
      </c>
      <c r="I555" s="73"/>
      <c r="J555" s="73"/>
      <c r="K555" s="73"/>
      <c r="L555" s="73"/>
      <c r="M555" s="73"/>
      <c r="N555" s="73"/>
      <c r="O555" s="73"/>
    </row>
    <row r="556" spans="1:15" ht="13.5" thickBot="1" x14ac:dyDescent="0.25">
      <c r="A556" s="18">
        <v>9</v>
      </c>
      <c r="B556" s="42">
        <f>D519+D528</f>
        <v>4.1999999999999993</v>
      </c>
      <c r="C556" s="42">
        <f>D521</f>
        <v>2.5</v>
      </c>
      <c r="D556" s="50">
        <f t="shared" si="4"/>
        <v>4.8877397639399742</v>
      </c>
      <c r="E556" s="61">
        <f t="shared" si="5"/>
        <v>8146.2329398999582</v>
      </c>
      <c r="I556" s="73"/>
      <c r="J556" s="73"/>
      <c r="K556" s="73"/>
      <c r="L556" s="73"/>
      <c r="M556" s="73"/>
      <c r="N556" s="73"/>
      <c r="O556" s="73"/>
    </row>
    <row r="557" spans="1:15" x14ac:dyDescent="0.2">
      <c r="I557" s="73"/>
      <c r="J557" s="73"/>
      <c r="K557" s="73"/>
      <c r="L557" s="73"/>
      <c r="M557" s="73"/>
      <c r="N557" s="73"/>
      <c r="O557" s="73"/>
    </row>
    <row r="558" spans="1:15" x14ac:dyDescent="0.2">
      <c r="I558" s="73"/>
      <c r="J558" s="73"/>
      <c r="K558" s="73"/>
      <c r="L558" s="73"/>
      <c r="M558" s="73"/>
      <c r="N558" s="73"/>
      <c r="O558" s="73"/>
    </row>
    <row r="559" spans="1:15" x14ac:dyDescent="0.2">
      <c r="I559" s="73"/>
      <c r="J559" s="73"/>
      <c r="K559" s="73"/>
      <c r="L559" s="73"/>
      <c r="M559" s="73"/>
      <c r="N559" s="73"/>
      <c r="O559" s="73"/>
    </row>
    <row r="560" spans="1:15" x14ac:dyDescent="0.2">
      <c r="C560" s="9" t="s">
        <v>300</v>
      </c>
      <c r="D560" s="105">
        <f>D510/D512</f>
        <v>2000</v>
      </c>
      <c r="E560" s="1" t="s">
        <v>40</v>
      </c>
      <c r="I560" s="73"/>
      <c r="J560" s="73"/>
      <c r="K560" s="73"/>
      <c r="L560" s="73"/>
      <c r="M560" s="73"/>
      <c r="N560" s="73"/>
      <c r="O560" s="73"/>
    </row>
    <row r="561" spans="2:15" x14ac:dyDescent="0.2">
      <c r="I561" s="73"/>
      <c r="J561" s="73"/>
      <c r="K561" s="73"/>
      <c r="L561" s="73"/>
      <c r="M561" s="73"/>
      <c r="N561" s="73"/>
      <c r="O561" s="73"/>
    </row>
    <row r="562" spans="2:15" x14ac:dyDescent="0.2">
      <c r="B562" s="1" t="s">
        <v>87</v>
      </c>
      <c r="I562" s="73"/>
      <c r="J562" s="73"/>
      <c r="K562" s="73"/>
      <c r="L562" s="73"/>
      <c r="M562" s="73"/>
      <c r="N562" s="73"/>
      <c r="O562" s="73"/>
    </row>
    <row r="563" spans="2:15" x14ac:dyDescent="0.2">
      <c r="I563" s="73"/>
      <c r="J563" s="73"/>
      <c r="K563" s="73"/>
      <c r="L563" s="73"/>
      <c r="M563" s="73"/>
      <c r="N563" s="73"/>
      <c r="O563" s="73"/>
    </row>
    <row r="564" spans="2:15" x14ac:dyDescent="0.2">
      <c r="I564" s="73"/>
      <c r="J564" s="73"/>
      <c r="K564" s="73"/>
      <c r="L564" s="73"/>
      <c r="M564" s="73"/>
      <c r="N564" s="73"/>
      <c r="O564" s="73"/>
    </row>
    <row r="565" spans="2:15" x14ac:dyDescent="0.2">
      <c r="I565" s="73"/>
      <c r="J565" s="73"/>
      <c r="K565" s="73"/>
      <c r="L565" s="73"/>
      <c r="M565" s="73"/>
      <c r="N565" s="73"/>
      <c r="O565" s="73"/>
    </row>
    <row r="566" spans="2:15" x14ac:dyDescent="0.2">
      <c r="I566" s="73"/>
      <c r="J566" s="73"/>
      <c r="K566" s="73"/>
      <c r="L566" s="73"/>
      <c r="M566" s="73"/>
      <c r="N566" s="73"/>
      <c r="O566" s="73"/>
    </row>
    <row r="567" spans="2:15" x14ac:dyDescent="0.2">
      <c r="I567" s="73"/>
      <c r="J567" s="73"/>
      <c r="K567" s="73"/>
      <c r="L567" s="73"/>
      <c r="M567" s="73"/>
      <c r="N567" s="73"/>
      <c r="O567" s="73"/>
    </row>
    <row r="568" spans="2:15" x14ac:dyDescent="0.2">
      <c r="I568" s="73"/>
      <c r="J568" s="73"/>
      <c r="K568" s="73"/>
      <c r="L568" s="73"/>
      <c r="M568" s="73"/>
      <c r="N568" s="73"/>
      <c r="O568" s="73"/>
    </row>
    <row r="569" spans="2:15" x14ac:dyDescent="0.2">
      <c r="I569" s="73"/>
      <c r="J569" s="73"/>
      <c r="K569" s="73"/>
      <c r="L569" s="73"/>
      <c r="M569" s="73"/>
      <c r="N569" s="73"/>
      <c r="O569" s="73"/>
    </row>
    <row r="570" spans="2:15" x14ac:dyDescent="0.2">
      <c r="I570" s="73"/>
      <c r="J570" s="73"/>
      <c r="K570" s="73"/>
      <c r="L570" s="73"/>
      <c r="M570" s="73"/>
      <c r="N570" s="73"/>
      <c r="O570" s="73"/>
    </row>
    <row r="571" spans="2:15" x14ac:dyDescent="0.2">
      <c r="I571" s="73"/>
      <c r="J571" s="73"/>
      <c r="K571" s="73"/>
      <c r="L571" s="73"/>
      <c r="M571" s="73"/>
      <c r="N571" s="73"/>
      <c r="O571" s="73"/>
    </row>
    <row r="572" spans="2:15" x14ac:dyDescent="0.2">
      <c r="I572" s="73"/>
      <c r="J572" s="73"/>
      <c r="K572" s="73"/>
      <c r="L572" s="73"/>
      <c r="M572" s="73"/>
      <c r="N572" s="73"/>
      <c r="O572" s="73"/>
    </row>
    <row r="573" spans="2:15" x14ac:dyDescent="0.2">
      <c r="I573" s="73"/>
      <c r="J573" s="73"/>
      <c r="K573" s="73"/>
      <c r="L573" s="73"/>
      <c r="M573" s="73"/>
      <c r="N573" s="73"/>
      <c r="O573" s="73"/>
    </row>
    <row r="574" spans="2:15" x14ac:dyDescent="0.2">
      <c r="I574" s="73"/>
      <c r="J574" s="73"/>
      <c r="K574" s="73"/>
      <c r="L574" s="73"/>
      <c r="M574" s="73"/>
      <c r="N574" s="73"/>
      <c r="O574" s="73"/>
    </row>
    <row r="575" spans="2:15" x14ac:dyDescent="0.2">
      <c r="I575" s="73"/>
      <c r="J575" s="73"/>
      <c r="K575" s="73"/>
      <c r="L575" s="73"/>
      <c r="M575" s="73"/>
      <c r="N575" s="73"/>
      <c r="O575" s="73"/>
    </row>
    <row r="576" spans="2:15" x14ac:dyDescent="0.2">
      <c r="I576" s="73"/>
      <c r="J576" s="73"/>
      <c r="K576" s="73"/>
      <c r="L576" s="73"/>
      <c r="M576" s="73"/>
      <c r="N576" s="73"/>
      <c r="O576" s="73"/>
    </row>
    <row r="577" spans="2:15" x14ac:dyDescent="0.2">
      <c r="I577" s="73"/>
      <c r="J577" s="73"/>
      <c r="K577" s="73"/>
      <c r="L577" s="73"/>
      <c r="M577" s="73"/>
      <c r="N577" s="73"/>
      <c r="O577" s="73"/>
    </row>
    <row r="578" spans="2:15" x14ac:dyDescent="0.2">
      <c r="I578" s="73"/>
      <c r="J578" s="73"/>
      <c r="K578" s="73"/>
      <c r="L578" s="73"/>
      <c r="M578" s="73"/>
      <c r="N578" s="73"/>
      <c r="O578" s="73"/>
    </row>
    <row r="579" spans="2:15" x14ac:dyDescent="0.2">
      <c r="I579" s="73"/>
      <c r="J579" s="73"/>
      <c r="K579" s="73"/>
      <c r="L579" s="73"/>
      <c r="M579" s="73"/>
      <c r="N579" s="73"/>
      <c r="O579" s="73"/>
    </row>
    <row r="580" spans="2:15" x14ac:dyDescent="0.2">
      <c r="I580" s="73"/>
      <c r="J580" s="73"/>
      <c r="K580" s="73"/>
      <c r="L580" s="73"/>
      <c r="M580" s="73"/>
      <c r="N580" s="73"/>
      <c r="O580" s="73"/>
    </row>
    <row r="581" spans="2:15" x14ac:dyDescent="0.2">
      <c r="I581" s="73"/>
      <c r="J581" s="73"/>
      <c r="K581" s="73"/>
      <c r="L581" s="73"/>
      <c r="M581" s="73"/>
      <c r="N581" s="73"/>
      <c r="O581" s="73"/>
    </row>
    <row r="582" spans="2:15" x14ac:dyDescent="0.2">
      <c r="I582" s="73"/>
      <c r="J582" s="73"/>
      <c r="K582" s="73"/>
      <c r="L582" s="73"/>
      <c r="M582" s="73"/>
      <c r="N582" s="73"/>
      <c r="O582" s="73"/>
    </row>
    <row r="583" spans="2:15" x14ac:dyDescent="0.2">
      <c r="I583" s="73"/>
      <c r="J583" s="73"/>
      <c r="K583" s="73"/>
      <c r="L583" s="73"/>
      <c r="M583" s="73"/>
      <c r="N583" s="73"/>
      <c r="O583" s="73"/>
    </row>
    <row r="584" spans="2:15" x14ac:dyDescent="0.2">
      <c r="I584" s="73"/>
      <c r="J584" s="73"/>
      <c r="K584" s="73"/>
      <c r="L584" s="73"/>
      <c r="M584" s="73"/>
      <c r="N584" s="73"/>
      <c r="O584" s="73"/>
    </row>
    <row r="585" spans="2:15" x14ac:dyDescent="0.2">
      <c r="I585" s="73"/>
      <c r="J585" s="73"/>
      <c r="K585" s="73"/>
      <c r="L585" s="73"/>
      <c r="M585" s="73"/>
      <c r="N585" s="73"/>
      <c r="O585" s="73"/>
    </row>
    <row r="586" spans="2:15" x14ac:dyDescent="0.2">
      <c r="I586" s="73"/>
      <c r="J586" s="73"/>
      <c r="K586" s="73"/>
      <c r="L586" s="73"/>
      <c r="M586" s="73"/>
      <c r="N586" s="73"/>
      <c r="O586" s="73"/>
    </row>
    <row r="587" spans="2:15" x14ac:dyDescent="0.2">
      <c r="I587" s="73"/>
      <c r="J587" s="73"/>
      <c r="K587" s="2"/>
      <c r="L587" s="5"/>
      <c r="N587" s="73"/>
      <c r="O587" s="73"/>
    </row>
    <row r="588" spans="2:15" x14ac:dyDescent="0.2">
      <c r="B588" s="15" t="s">
        <v>307</v>
      </c>
      <c r="I588" s="73"/>
      <c r="J588" s="73"/>
      <c r="K588" s="9"/>
      <c r="L588" s="4"/>
      <c r="M588" s="1"/>
      <c r="N588" s="73"/>
      <c r="O588" s="73"/>
    </row>
    <row r="589" spans="2:15" x14ac:dyDescent="0.2">
      <c r="I589" s="73"/>
      <c r="J589" s="73"/>
      <c r="K589" s="9"/>
      <c r="L589" s="28"/>
      <c r="M589" s="1"/>
      <c r="N589" s="73"/>
      <c r="O589" s="73"/>
    </row>
    <row r="590" spans="2:15" ht="15" x14ac:dyDescent="0.25">
      <c r="B590" s="112" t="s">
        <v>309</v>
      </c>
      <c r="I590" s="73"/>
      <c r="J590" s="73"/>
      <c r="K590" s="9"/>
      <c r="L590" s="4"/>
      <c r="M590" s="1"/>
      <c r="N590" s="73"/>
      <c r="O590" s="73"/>
    </row>
    <row r="591" spans="2:15" x14ac:dyDescent="0.2">
      <c r="D591" s="5" t="s">
        <v>5</v>
      </c>
      <c r="I591" s="73"/>
      <c r="J591" s="73"/>
      <c r="K591" s="7"/>
      <c r="L591" s="28"/>
      <c r="M591" s="1"/>
      <c r="N591" s="73"/>
      <c r="O591" s="73"/>
    </row>
    <row r="592" spans="2:15" x14ac:dyDescent="0.2">
      <c r="C592" s="9" t="s">
        <v>301</v>
      </c>
      <c r="D592" s="105">
        <f>D510/D512</f>
        <v>2000</v>
      </c>
      <c r="E592" s="1" t="s">
        <v>40</v>
      </c>
      <c r="I592" s="73"/>
      <c r="J592" s="73"/>
      <c r="K592" s="9"/>
      <c r="L592" s="4"/>
      <c r="M592" s="1"/>
      <c r="N592" s="73"/>
      <c r="O592" s="73"/>
    </row>
    <row r="593" spans="3:15" x14ac:dyDescent="0.2">
      <c r="C593" s="9" t="s">
        <v>302</v>
      </c>
      <c r="D593" s="28">
        <f>E556</f>
        <v>8146.2329398999582</v>
      </c>
      <c r="E593" s="1" t="s">
        <v>40</v>
      </c>
      <c r="I593" s="73"/>
      <c r="J593" s="73"/>
      <c r="K593" s="7"/>
      <c r="L593" s="8"/>
      <c r="M593" s="1"/>
      <c r="N593" s="73"/>
      <c r="O593" s="73"/>
    </row>
    <row r="594" spans="3:15" x14ac:dyDescent="0.2">
      <c r="C594" s="9" t="s">
        <v>304</v>
      </c>
      <c r="D594" s="4" t="s">
        <v>305</v>
      </c>
      <c r="E594" s="1"/>
      <c r="F594" s="1"/>
      <c r="I594" s="73"/>
      <c r="J594" s="73"/>
      <c r="K594" s="9"/>
      <c r="L594" s="28"/>
      <c r="M594" s="1"/>
      <c r="N594" s="73"/>
      <c r="O594" s="73"/>
    </row>
    <row r="595" spans="3:15" x14ac:dyDescent="0.2">
      <c r="C595" s="9" t="s">
        <v>6</v>
      </c>
      <c r="D595" s="46">
        <f>57.3*ATAN(D521/(D528+D519))</f>
        <v>30.764985559004618</v>
      </c>
      <c r="E595" s="1" t="s">
        <v>238</v>
      </c>
      <c r="F595" s="1"/>
      <c r="I595" s="73"/>
      <c r="J595" s="73"/>
      <c r="K595" s="9"/>
      <c r="L595" s="4"/>
      <c r="M595" s="1"/>
      <c r="N595" s="73"/>
      <c r="O595" s="73"/>
    </row>
    <row r="596" spans="3:15" x14ac:dyDescent="0.2">
      <c r="C596" s="9" t="s">
        <v>303</v>
      </c>
      <c r="D596" s="4" t="s">
        <v>306</v>
      </c>
      <c r="I596" s="73"/>
      <c r="J596" s="73"/>
      <c r="K596" s="7"/>
      <c r="L596" s="28"/>
      <c r="M596" s="1"/>
      <c r="N596" s="73"/>
      <c r="O596" s="73"/>
    </row>
    <row r="597" spans="3:15" x14ac:dyDescent="0.2">
      <c r="C597" s="10" t="s">
        <v>6</v>
      </c>
      <c r="D597" s="105">
        <f>((E556*SIN(D595/57.3)^2) + (D592 +E556*COS(D595/57.3))^2)^0.5</f>
        <v>9000.1183982628263</v>
      </c>
      <c r="E597" s="1" t="s">
        <v>40</v>
      </c>
      <c r="I597" s="73"/>
      <c r="J597" s="73"/>
      <c r="K597" s="9"/>
      <c r="L597" s="4"/>
      <c r="M597" s="1"/>
      <c r="N597" s="73"/>
      <c r="O597" s="73"/>
    </row>
    <row r="598" spans="3:15" x14ac:dyDescent="0.2">
      <c r="I598" s="73"/>
      <c r="J598" s="73"/>
      <c r="K598" s="7"/>
      <c r="L598" s="28"/>
      <c r="M598" s="1"/>
      <c r="N598" s="73"/>
      <c r="O598" s="73"/>
    </row>
    <row r="599" spans="3:15" x14ac:dyDescent="0.2">
      <c r="C599" s="9" t="s">
        <v>308</v>
      </c>
      <c r="D599" s="105">
        <f>D597</f>
        <v>9000.1183982628263</v>
      </c>
      <c r="E599" s="1" t="s">
        <v>40</v>
      </c>
      <c r="I599" s="73"/>
      <c r="J599" s="73"/>
      <c r="K599" s="2"/>
      <c r="L599" s="5"/>
      <c r="N599" s="73"/>
      <c r="O599" s="73"/>
    </row>
    <row r="600" spans="3:15" x14ac:dyDescent="0.2">
      <c r="I600" s="73"/>
      <c r="J600" s="73"/>
      <c r="K600" s="10"/>
      <c r="L600" s="110"/>
      <c r="M600" s="1"/>
      <c r="N600" s="73"/>
      <c r="O600" s="73"/>
    </row>
    <row r="601" spans="3:15" x14ac:dyDescent="0.2">
      <c r="C601" s="9" t="s">
        <v>313</v>
      </c>
      <c r="D601" s="4" t="s">
        <v>315</v>
      </c>
      <c r="E601" s="1"/>
      <c r="I601" s="73"/>
      <c r="J601" s="73"/>
      <c r="K601" s="2"/>
      <c r="L601" s="5"/>
      <c r="N601" s="73"/>
      <c r="O601" s="73"/>
    </row>
    <row r="602" spans="3:15" x14ac:dyDescent="0.2">
      <c r="C602" s="9" t="s">
        <v>6</v>
      </c>
      <c r="D602" s="105">
        <f>D599/C539</f>
        <v>45837.119420742689</v>
      </c>
      <c r="E602" s="1" t="s">
        <v>100</v>
      </c>
      <c r="I602" s="73"/>
      <c r="J602" s="73"/>
      <c r="K602" s="9"/>
      <c r="L602" s="4"/>
      <c r="N602" s="73"/>
      <c r="O602" s="73"/>
    </row>
    <row r="603" spans="3:15" x14ac:dyDescent="0.2">
      <c r="C603" s="9" t="s">
        <v>316</v>
      </c>
      <c r="D603" s="4" t="s">
        <v>317</v>
      </c>
      <c r="E603" s="1"/>
      <c r="I603" s="73"/>
      <c r="J603" s="73"/>
      <c r="K603" s="7"/>
      <c r="L603" s="8"/>
      <c r="N603" s="73"/>
      <c r="O603" s="73"/>
    </row>
    <row r="604" spans="3:15" x14ac:dyDescent="0.2">
      <c r="C604" s="9" t="s">
        <v>6</v>
      </c>
      <c r="D604" s="8">
        <f>D514*1000/D602</f>
        <v>1.6362284748212215</v>
      </c>
      <c r="E604" s="1"/>
      <c r="I604" s="73"/>
      <c r="J604" s="73"/>
      <c r="K604" s="73"/>
      <c r="L604" s="73"/>
      <c r="M604" s="73"/>
      <c r="N604" s="73"/>
      <c r="O604" s="73"/>
    </row>
    <row r="605" spans="3:15" x14ac:dyDescent="0.2">
      <c r="I605" s="73"/>
      <c r="J605" s="73"/>
      <c r="K605" s="73"/>
      <c r="L605" s="73"/>
      <c r="M605" s="73"/>
      <c r="N605" s="73"/>
      <c r="O605" s="73"/>
    </row>
    <row r="606" spans="3:15" x14ac:dyDescent="0.2">
      <c r="I606" s="73"/>
      <c r="J606" s="73"/>
      <c r="K606" s="73"/>
      <c r="L606" s="73"/>
      <c r="M606" s="73"/>
      <c r="N606" s="73"/>
      <c r="O606" s="73"/>
    </row>
    <row r="607" spans="3:15" x14ac:dyDescent="0.2">
      <c r="I607" s="73"/>
      <c r="J607" s="73"/>
      <c r="K607" s="73"/>
      <c r="L607" s="73"/>
      <c r="M607" s="73"/>
      <c r="N607" s="73"/>
      <c r="O607" s="73"/>
    </row>
  </sheetData>
  <sheetProtection sheet="1" objects="1" scenarios="1" formatCells="0" selectLockedCells="1"/>
  <phoneticPr fontId="2" type="noConversion"/>
  <pageMargins left="0.75" right="0.75" top="1" bottom="1" header="0.5" footer="0.5"/>
  <pageSetup orientation="portrait"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71"/>
  <sheetViews>
    <sheetView workbookViewId="0">
      <selection activeCell="M3" sqref="M3"/>
    </sheetView>
  </sheetViews>
  <sheetFormatPr defaultRowHeight="12.75" x14ac:dyDescent="0.2"/>
  <sheetData>
    <row r="1" spans="1:16" ht="15.75" x14ac:dyDescent="0.25">
      <c r="A1" s="126" t="s">
        <v>312</v>
      </c>
    </row>
    <row r="2" spans="1:16" x14ac:dyDescent="0.2">
      <c r="B2" s="1" t="s">
        <v>343</v>
      </c>
      <c r="G2" s="73"/>
      <c r="H2" s="73"/>
      <c r="I2" s="73"/>
      <c r="J2" s="73"/>
      <c r="K2" s="73"/>
      <c r="L2" s="73"/>
      <c r="M2" s="73"/>
      <c r="N2" s="73"/>
      <c r="O2" s="73"/>
      <c r="P2" s="73"/>
    </row>
    <row r="3" spans="1:16" x14ac:dyDescent="0.2">
      <c r="I3" s="73"/>
      <c r="J3" s="73"/>
      <c r="K3" s="73"/>
      <c r="L3" s="73"/>
      <c r="M3" s="73"/>
      <c r="N3" s="73"/>
      <c r="O3" s="73"/>
      <c r="P3" s="73"/>
    </row>
    <row r="4" spans="1:16" ht="18.75" x14ac:dyDescent="0.2">
      <c r="B4" s="127" t="s">
        <v>342</v>
      </c>
      <c r="C4" s="124"/>
      <c r="D4" s="124"/>
      <c r="E4" s="124"/>
      <c r="F4" s="124"/>
      <c r="G4" s="125"/>
      <c r="H4" s="125"/>
      <c r="I4" s="125"/>
      <c r="J4" s="125"/>
      <c r="K4" s="125"/>
      <c r="L4" s="73"/>
      <c r="M4" s="73"/>
      <c r="N4" s="73"/>
      <c r="O4" s="73"/>
      <c r="P4" s="73"/>
    </row>
    <row r="5" spans="1:16" ht="15.75" x14ac:dyDescent="0.2">
      <c r="B5" s="123" t="s">
        <v>344</v>
      </c>
      <c r="G5" s="73"/>
      <c r="H5" s="73"/>
      <c r="I5" s="73"/>
      <c r="J5" s="73"/>
      <c r="K5" s="73"/>
      <c r="L5" s="73"/>
      <c r="M5" s="73"/>
      <c r="N5" s="73"/>
      <c r="O5" s="73"/>
      <c r="P5" s="73"/>
    </row>
    <row r="6" spans="1:16" ht="15.75" x14ac:dyDescent="0.2">
      <c r="B6" s="123" t="s">
        <v>345</v>
      </c>
      <c r="G6" s="73"/>
      <c r="H6" s="73"/>
      <c r="I6" s="73"/>
      <c r="J6" s="73"/>
      <c r="K6" s="73"/>
      <c r="L6" s="73"/>
      <c r="M6" s="73"/>
      <c r="N6" s="73"/>
      <c r="O6" s="73"/>
      <c r="P6" s="73"/>
    </row>
    <row r="7" spans="1:16" ht="15" x14ac:dyDescent="0.25">
      <c r="B7" s="112" t="s">
        <v>341</v>
      </c>
      <c r="G7" s="73"/>
      <c r="M7" s="73"/>
      <c r="N7" s="73"/>
      <c r="O7" s="73"/>
      <c r="P7" s="73"/>
    </row>
    <row r="8" spans="1:16" x14ac:dyDescent="0.2">
      <c r="M8" s="73"/>
      <c r="N8" s="73"/>
      <c r="O8" s="73"/>
      <c r="P8" s="73"/>
    </row>
    <row r="9" spans="1:16" x14ac:dyDescent="0.2">
      <c r="M9" s="73"/>
      <c r="N9" s="73"/>
      <c r="O9" s="73"/>
      <c r="P9" s="73"/>
    </row>
    <row r="10" spans="1:16" x14ac:dyDescent="0.2">
      <c r="M10" s="73"/>
      <c r="N10" s="73"/>
      <c r="O10" s="73"/>
      <c r="P10" s="73"/>
    </row>
    <row r="11" spans="1:16" x14ac:dyDescent="0.2">
      <c r="M11" s="73"/>
      <c r="N11" s="73"/>
      <c r="O11" s="73"/>
      <c r="P11" s="73"/>
    </row>
    <row r="12" spans="1:16" x14ac:dyDescent="0.2">
      <c r="M12" s="73"/>
      <c r="N12" s="73"/>
      <c r="O12" s="73"/>
      <c r="P12" s="73"/>
    </row>
    <row r="13" spans="1:16" x14ac:dyDescent="0.2">
      <c r="M13" s="73"/>
      <c r="N13" s="73"/>
      <c r="O13" s="73"/>
      <c r="P13" s="73"/>
    </row>
    <row r="14" spans="1:16" x14ac:dyDescent="0.2">
      <c r="M14" s="73"/>
      <c r="N14" s="73"/>
      <c r="O14" s="73"/>
      <c r="P14" s="73"/>
    </row>
    <row r="15" spans="1:16" x14ac:dyDescent="0.2">
      <c r="M15" s="73"/>
      <c r="N15" s="73"/>
      <c r="O15" s="73"/>
      <c r="P15" s="73"/>
    </row>
    <row r="16" spans="1:16" x14ac:dyDescent="0.2">
      <c r="M16" s="73"/>
      <c r="N16" s="73"/>
      <c r="O16" s="73"/>
      <c r="P16" s="73"/>
    </row>
    <row r="17" spans="12:16" x14ac:dyDescent="0.2">
      <c r="M17" s="73"/>
      <c r="N17" s="73"/>
      <c r="O17" s="73"/>
      <c r="P17" s="73"/>
    </row>
    <row r="18" spans="12:16" x14ac:dyDescent="0.2">
      <c r="M18" s="73"/>
      <c r="N18" s="73"/>
      <c r="O18" s="73"/>
      <c r="P18" s="73"/>
    </row>
    <row r="19" spans="12:16" x14ac:dyDescent="0.2">
      <c r="M19" s="73"/>
      <c r="N19" s="73"/>
      <c r="O19" s="73"/>
      <c r="P19" s="73"/>
    </row>
    <row r="20" spans="12:16" x14ac:dyDescent="0.2">
      <c r="M20" s="73"/>
      <c r="N20" s="73"/>
      <c r="O20" s="73"/>
      <c r="P20" s="73"/>
    </row>
    <row r="21" spans="12:16" x14ac:dyDescent="0.2">
      <c r="M21" s="73"/>
      <c r="N21" s="73"/>
      <c r="O21" s="73"/>
      <c r="P21" s="73"/>
    </row>
    <row r="22" spans="12:16" x14ac:dyDescent="0.2">
      <c r="M22" s="73"/>
      <c r="N22" s="73"/>
      <c r="O22" s="73"/>
      <c r="P22" s="73"/>
    </row>
    <row r="23" spans="12:16" x14ac:dyDescent="0.2">
      <c r="M23" s="73"/>
      <c r="N23" s="73"/>
      <c r="O23" s="73"/>
      <c r="P23" s="73"/>
    </row>
    <row r="24" spans="12:16" x14ac:dyDescent="0.2">
      <c r="M24" s="73"/>
      <c r="N24" s="73"/>
      <c r="O24" s="73"/>
      <c r="P24" s="73"/>
    </row>
    <row r="25" spans="12:16" ht="15.75" x14ac:dyDescent="0.25">
      <c r="L25" s="120" t="s">
        <v>100</v>
      </c>
      <c r="M25" s="73"/>
      <c r="N25" s="73"/>
      <c r="O25" s="73"/>
      <c r="P25" s="73"/>
    </row>
    <row r="26" spans="12:16" x14ac:dyDescent="0.2">
      <c r="L26" s="121">
        <v>13549</v>
      </c>
      <c r="M26" s="73"/>
      <c r="N26" s="73"/>
      <c r="O26" s="73"/>
      <c r="P26" s="73"/>
    </row>
    <row r="27" spans="12:16" x14ac:dyDescent="0.2">
      <c r="L27" s="121"/>
      <c r="M27" s="73"/>
      <c r="N27" s="73"/>
      <c r="O27" s="73"/>
      <c r="P27" s="73"/>
    </row>
    <row r="28" spans="12:16" x14ac:dyDescent="0.2">
      <c r="L28" s="122">
        <v>12197</v>
      </c>
      <c r="M28" s="73"/>
      <c r="N28" s="73"/>
      <c r="O28" s="73"/>
      <c r="P28" s="73"/>
    </row>
    <row r="29" spans="12:16" x14ac:dyDescent="0.2">
      <c r="L29" s="121"/>
      <c r="M29" s="73"/>
      <c r="N29" s="73"/>
      <c r="O29" s="73"/>
      <c r="P29" s="73"/>
    </row>
    <row r="30" spans="12:16" x14ac:dyDescent="0.2">
      <c r="L30" s="121">
        <v>10838</v>
      </c>
      <c r="M30" s="73"/>
      <c r="N30" s="73"/>
      <c r="O30" s="73"/>
      <c r="P30" s="73"/>
    </row>
    <row r="31" spans="12:16" x14ac:dyDescent="0.2">
      <c r="L31" s="121"/>
      <c r="M31" s="73"/>
      <c r="N31" s="73"/>
      <c r="O31" s="73"/>
      <c r="P31" s="73"/>
    </row>
    <row r="32" spans="12:16" x14ac:dyDescent="0.2">
      <c r="L32" s="121">
        <v>9486</v>
      </c>
      <c r="M32" s="73"/>
      <c r="N32" s="73"/>
      <c r="O32" s="73"/>
      <c r="P32" s="73"/>
    </row>
    <row r="33" spans="12:16" x14ac:dyDescent="0.2">
      <c r="L33" s="121"/>
      <c r="M33" s="73"/>
      <c r="N33" s="73"/>
      <c r="O33" s="73"/>
      <c r="P33" s="73"/>
    </row>
    <row r="34" spans="12:16" x14ac:dyDescent="0.2">
      <c r="L34" s="121">
        <v>8134</v>
      </c>
      <c r="M34" s="73"/>
      <c r="N34" s="73"/>
      <c r="O34" s="73"/>
      <c r="P34" s="73"/>
    </row>
    <row r="35" spans="12:16" x14ac:dyDescent="0.2">
      <c r="L35" s="121"/>
      <c r="M35" s="73"/>
      <c r="N35" s="73"/>
      <c r="O35" s="73"/>
      <c r="P35" s="73"/>
    </row>
    <row r="36" spans="12:16" x14ac:dyDescent="0.2">
      <c r="L36" s="121">
        <v>67094</v>
      </c>
      <c r="M36" s="73"/>
      <c r="N36" s="73"/>
      <c r="O36" s="73"/>
      <c r="P36" s="73"/>
    </row>
    <row r="37" spans="12:16" x14ac:dyDescent="0.2">
      <c r="L37" s="121"/>
      <c r="M37" s="73"/>
      <c r="N37" s="73"/>
      <c r="O37" s="73"/>
      <c r="P37" s="73"/>
    </row>
    <row r="38" spans="12:16" x14ac:dyDescent="0.2">
      <c r="L38" s="121">
        <v>53680</v>
      </c>
      <c r="M38" s="73"/>
      <c r="N38" s="73"/>
      <c r="O38" s="73"/>
      <c r="P38" s="73"/>
    </row>
    <row r="39" spans="12:16" x14ac:dyDescent="0.2">
      <c r="L39" s="121"/>
      <c r="M39" s="73"/>
      <c r="N39" s="73"/>
      <c r="O39" s="73"/>
      <c r="P39" s="73"/>
    </row>
    <row r="40" spans="12:16" x14ac:dyDescent="0.2">
      <c r="L40" s="121">
        <v>40273</v>
      </c>
      <c r="M40" s="73"/>
      <c r="N40" s="73"/>
      <c r="O40" s="73"/>
      <c r="P40" s="73"/>
    </row>
    <row r="41" spans="12:16" x14ac:dyDescent="0.2">
      <c r="L41" s="121"/>
      <c r="M41" s="73"/>
      <c r="N41" s="73"/>
      <c r="O41" s="73"/>
      <c r="P41" s="73"/>
    </row>
    <row r="42" spans="12:16" x14ac:dyDescent="0.2">
      <c r="L42" s="121">
        <v>26858</v>
      </c>
      <c r="M42" s="73"/>
      <c r="N42" s="73"/>
      <c r="O42" s="73"/>
      <c r="P42" s="73"/>
    </row>
    <row r="43" spans="12:16" x14ac:dyDescent="0.2">
      <c r="L43" s="121"/>
      <c r="M43" s="73"/>
      <c r="N43" s="73"/>
      <c r="O43" s="73"/>
      <c r="P43" s="73"/>
    </row>
    <row r="44" spans="12:16" x14ac:dyDescent="0.2">
      <c r="L44" s="121">
        <v>13444</v>
      </c>
      <c r="M44" s="73"/>
      <c r="N44" s="73"/>
      <c r="O44" s="73"/>
      <c r="P44" s="73"/>
    </row>
    <row r="45" spans="12:16" x14ac:dyDescent="0.2">
      <c r="M45" s="73"/>
      <c r="N45" s="73"/>
      <c r="O45" s="73"/>
      <c r="P45" s="73"/>
    </row>
    <row r="46" spans="12:16" x14ac:dyDescent="0.2">
      <c r="L46" s="121">
        <v>34899</v>
      </c>
      <c r="M46" s="73"/>
      <c r="N46" s="73"/>
      <c r="O46" s="73"/>
      <c r="P46" s="73"/>
    </row>
    <row r="47" spans="12:16" x14ac:dyDescent="0.2">
      <c r="L47" s="73"/>
      <c r="M47" s="73"/>
      <c r="N47" s="73"/>
      <c r="O47" s="73"/>
      <c r="P47" s="73"/>
    </row>
    <row r="48" spans="12:16" x14ac:dyDescent="0.2">
      <c r="M48" s="73"/>
      <c r="N48" s="73"/>
      <c r="O48" s="73"/>
      <c r="P48" s="73"/>
    </row>
    <row r="49" spans="5:16" x14ac:dyDescent="0.2">
      <c r="M49" s="73"/>
      <c r="N49" s="73"/>
      <c r="O49" s="73"/>
      <c r="P49" s="73"/>
    </row>
    <row r="50" spans="5:16" x14ac:dyDescent="0.2">
      <c r="M50" s="73"/>
      <c r="N50" s="73"/>
      <c r="O50" s="73"/>
      <c r="P50" s="73"/>
    </row>
    <row r="51" spans="5:16" x14ac:dyDescent="0.2">
      <c r="M51" s="73"/>
      <c r="N51" s="73"/>
      <c r="O51" s="73"/>
      <c r="P51" s="73"/>
    </row>
    <row r="52" spans="5:16" x14ac:dyDescent="0.2">
      <c r="M52" s="73"/>
      <c r="N52" s="73"/>
      <c r="O52" s="73"/>
      <c r="P52" s="73"/>
    </row>
    <row r="53" spans="5:16" ht="21" x14ac:dyDescent="0.2">
      <c r="E53" s="119" t="s">
        <v>338</v>
      </c>
      <c r="M53" s="73"/>
      <c r="N53" s="73"/>
      <c r="O53" s="73"/>
      <c r="P53" s="73"/>
    </row>
    <row r="54" spans="5:16" x14ac:dyDescent="0.2">
      <c r="M54" s="73"/>
      <c r="N54" s="73"/>
      <c r="O54" s="73"/>
      <c r="P54" s="73"/>
    </row>
    <row r="55" spans="5:16" x14ac:dyDescent="0.2">
      <c r="M55" s="73"/>
      <c r="N55" s="73"/>
      <c r="O55" s="73"/>
      <c r="P55" s="73"/>
    </row>
    <row r="56" spans="5:16" x14ac:dyDescent="0.2">
      <c r="M56" s="73"/>
      <c r="N56" s="73"/>
      <c r="O56" s="73"/>
      <c r="P56" s="73"/>
    </row>
    <row r="57" spans="5:16" x14ac:dyDescent="0.2">
      <c r="M57" s="73"/>
      <c r="N57" s="73"/>
      <c r="O57" s="73"/>
      <c r="P57" s="73"/>
    </row>
    <row r="58" spans="5:16" x14ac:dyDescent="0.2">
      <c r="M58" s="73"/>
      <c r="N58" s="73"/>
      <c r="O58" s="73"/>
      <c r="P58" s="73"/>
    </row>
    <row r="59" spans="5:16" x14ac:dyDescent="0.2">
      <c r="M59" s="73"/>
      <c r="N59" s="73"/>
      <c r="O59" s="73"/>
      <c r="P59" s="73"/>
    </row>
    <row r="60" spans="5:16" x14ac:dyDescent="0.2">
      <c r="M60" s="73"/>
      <c r="N60" s="73"/>
      <c r="O60" s="73"/>
      <c r="P60" s="73"/>
    </row>
    <row r="61" spans="5:16" x14ac:dyDescent="0.2">
      <c r="M61" s="73"/>
      <c r="N61" s="73"/>
      <c r="O61" s="73"/>
      <c r="P61" s="73"/>
    </row>
    <row r="62" spans="5:16" x14ac:dyDescent="0.2">
      <c r="M62" s="73"/>
      <c r="N62" s="73"/>
      <c r="O62" s="73"/>
      <c r="P62" s="73"/>
    </row>
    <row r="63" spans="5:16" x14ac:dyDescent="0.2">
      <c r="M63" s="73"/>
      <c r="N63" s="73"/>
      <c r="O63" s="73"/>
      <c r="P63" s="73"/>
    </row>
    <row r="64" spans="5:16" x14ac:dyDescent="0.2">
      <c r="M64" s="73"/>
      <c r="N64" s="73"/>
      <c r="O64" s="73"/>
      <c r="P64" s="73"/>
    </row>
    <row r="65" spans="13:16" x14ac:dyDescent="0.2">
      <c r="M65" s="73"/>
      <c r="N65" s="73"/>
      <c r="O65" s="73"/>
      <c r="P65" s="73"/>
    </row>
    <row r="66" spans="13:16" x14ac:dyDescent="0.2">
      <c r="M66" s="73"/>
      <c r="N66" s="73"/>
      <c r="O66" s="73"/>
      <c r="P66" s="73"/>
    </row>
    <row r="67" spans="13:16" x14ac:dyDescent="0.2">
      <c r="M67" s="73"/>
      <c r="N67" s="73"/>
      <c r="O67" s="73"/>
      <c r="P67" s="73"/>
    </row>
    <row r="68" spans="13:16" x14ac:dyDescent="0.2">
      <c r="M68" s="73"/>
      <c r="N68" s="73"/>
      <c r="O68" s="73"/>
      <c r="P68" s="73"/>
    </row>
    <row r="69" spans="13:16" x14ac:dyDescent="0.2">
      <c r="M69" s="73"/>
      <c r="N69" s="73"/>
      <c r="O69" s="73"/>
      <c r="P69" s="73"/>
    </row>
    <row r="70" spans="13:16" x14ac:dyDescent="0.2">
      <c r="M70" s="73"/>
      <c r="N70" s="73"/>
      <c r="O70" s="73"/>
      <c r="P70" s="73"/>
    </row>
    <row r="71" spans="13:16" x14ac:dyDescent="0.2">
      <c r="M71" s="73"/>
      <c r="N71" s="73"/>
      <c r="O71" s="73"/>
      <c r="P71" s="73"/>
    </row>
    <row r="72" spans="13:16" x14ac:dyDescent="0.2">
      <c r="M72" s="73"/>
      <c r="N72" s="73"/>
      <c r="O72" s="73"/>
      <c r="P72" s="73"/>
    </row>
    <row r="73" spans="13:16" x14ac:dyDescent="0.2">
      <c r="M73" s="73"/>
      <c r="N73" s="73"/>
      <c r="O73" s="73"/>
      <c r="P73" s="73"/>
    </row>
    <row r="74" spans="13:16" x14ac:dyDescent="0.2">
      <c r="M74" s="73"/>
      <c r="N74" s="73"/>
      <c r="O74" s="73"/>
      <c r="P74" s="73"/>
    </row>
    <row r="75" spans="13:16" x14ac:dyDescent="0.2">
      <c r="M75" s="73"/>
      <c r="N75" s="73"/>
      <c r="O75" s="73"/>
      <c r="P75" s="73"/>
    </row>
    <row r="76" spans="13:16" x14ac:dyDescent="0.2">
      <c r="M76" s="73"/>
      <c r="N76" s="73"/>
      <c r="O76" s="73"/>
      <c r="P76" s="73"/>
    </row>
    <row r="77" spans="13:16" x14ac:dyDescent="0.2">
      <c r="M77" s="73"/>
      <c r="N77" s="73"/>
      <c r="O77" s="73"/>
      <c r="P77" s="73"/>
    </row>
    <row r="78" spans="13:16" x14ac:dyDescent="0.2">
      <c r="M78" s="73"/>
      <c r="N78" s="73"/>
      <c r="O78" s="73"/>
      <c r="P78" s="73"/>
    </row>
    <row r="79" spans="13:16" x14ac:dyDescent="0.2">
      <c r="M79" s="73"/>
      <c r="N79" s="73"/>
      <c r="O79" s="73"/>
      <c r="P79" s="73"/>
    </row>
    <row r="80" spans="13:16" x14ac:dyDescent="0.2">
      <c r="M80" s="73"/>
      <c r="N80" s="73"/>
      <c r="O80" s="73"/>
      <c r="P80" s="73"/>
    </row>
    <row r="81" spans="5:16" x14ac:dyDescent="0.2">
      <c r="M81" s="73"/>
      <c r="N81" s="73"/>
      <c r="O81" s="73"/>
      <c r="P81" s="73"/>
    </row>
    <row r="82" spans="5:16" ht="21" x14ac:dyDescent="0.2">
      <c r="E82" s="119" t="s">
        <v>339</v>
      </c>
      <c r="M82" s="73"/>
      <c r="N82" s="73"/>
      <c r="O82" s="73"/>
      <c r="P82" s="73"/>
    </row>
    <row r="83" spans="5:16" x14ac:dyDescent="0.2">
      <c r="M83" s="73"/>
      <c r="N83" s="73"/>
      <c r="O83" s="73"/>
      <c r="P83" s="73"/>
    </row>
    <row r="84" spans="5:16" x14ac:dyDescent="0.2">
      <c r="M84" s="73"/>
      <c r="N84" s="73"/>
      <c r="O84" s="73"/>
      <c r="P84" s="73"/>
    </row>
    <row r="85" spans="5:16" x14ac:dyDescent="0.2">
      <c r="M85" s="73"/>
      <c r="N85" s="73"/>
      <c r="O85" s="73"/>
      <c r="P85" s="73"/>
    </row>
    <row r="86" spans="5:16" x14ac:dyDescent="0.2">
      <c r="M86" s="73"/>
      <c r="N86" s="73"/>
      <c r="O86" s="73"/>
      <c r="P86" s="73"/>
    </row>
    <row r="87" spans="5:16" x14ac:dyDescent="0.2">
      <c r="M87" s="73"/>
      <c r="N87" s="73"/>
      <c r="O87" s="73"/>
      <c r="P87" s="73"/>
    </row>
    <row r="88" spans="5:16" x14ac:dyDescent="0.2">
      <c r="M88" s="73"/>
      <c r="N88" s="73"/>
      <c r="O88" s="73"/>
      <c r="P88" s="73"/>
    </row>
    <row r="89" spans="5:16" x14ac:dyDescent="0.2">
      <c r="M89" s="73"/>
      <c r="N89" s="73"/>
      <c r="O89" s="73"/>
      <c r="P89" s="73"/>
    </row>
    <row r="90" spans="5:16" x14ac:dyDescent="0.2">
      <c r="M90" s="73"/>
      <c r="N90" s="73"/>
      <c r="O90" s="73"/>
      <c r="P90" s="73"/>
    </row>
    <row r="91" spans="5:16" x14ac:dyDescent="0.2">
      <c r="M91" s="73"/>
      <c r="N91" s="73"/>
      <c r="O91" s="73"/>
      <c r="P91" s="73"/>
    </row>
    <row r="92" spans="5:16" x14ac:dyDescent="0.2">
      <c r="M92" s="73"/>
      <c r="N92" s="73"/>
      <c r="O92" s="73"/>
      <c r="P92" s="73"/>
    </row>
    <row r="93" spans="5:16" x14ac:dyDescent="0.2">
      <c r="M93" s="73"/>
      <c r="N93" s="73"/>
      <c r="O93" s="73"/>
      <c r="P93" s="73"/>
    </row>
    <row r="94" spans="5:16" x14ac:dyDescent="0.2">
      <c r="M94" s="73"/>
      <c r="N94" s="73"/>
      <c r="O94" s="73"/>
      <c r="P94" s="73"/>
    </row>
    <row r="95" spans="5:16" x14ac:dyDescent="0.2">
      <c r="M95" s="73"/>
      <c r="N95" s="73"/>
      <c r="O95" s="73"/>
      <c r="P95" s="73"/>
    </row>
    <row r="96" spans="5:16" x14ac:dyDescent="0.2">
      <c r="M96" s="73"/>
      <c r="N96" s="73"/>
      <c r="O96" s="73"/>
      <c r="P96" s="73"/>
    </row>
    <row r="97" spans="13:16" x14ac:dyDescent="0.2">
      <c r="M97" s="73"/>
      <c r="N97" s="73"/>
      <c r="O97" s="73"/>
      <c r="P97" s="73"/>
    </row>
    <row r="98" spans="13:16" x14ac:dyDescent="0.2">
      <c r="M98" s="73"/>
      <c r="N98" s="73"/>
      <c r="O98" s="73"/>
      <c r="P98" s="73"/>
    </row>
    <row r="99" spans="13:16" x14ac:dyDescent="0.2">
      <c r="M99" s="73"/>
      <c r="N99" s="73"/>
      <c r="O99" s="73"/>
      <c r="P99" s="73"/>
    </row>
    <row r="100" spans="13:16" x14ac:dyDescent="0.2">
      <c r="M100" s="73"/>
      <c r="N100" s="73"/>
      <c r="O100" s="73"/>
      <c r="P100" s="73"/>
    </row>
    <row r="101" spans="13:16" x14ac:dyDescent="0.2">
      <c r="M101" s="73"/>
      <c r="N101" s="73"/>
      <c r="O101" s="73"/>
      <c r="P101" s="73"/>
    </row>
    <row r="102" spans="13:16" x14ac:dyDescent="0.2">
      <c r="M102" s="73"/>
      <c r="N102" s="73"/>
      <c r="O102" s="73"/>
      <c r="P102" s="73"/>
    </row>
    <row r="103" spans="13:16" x14ac:dyDescent="0.2">
      <c r="M103" s="73"/>
      <c r="N103" s="73"/>
      <c r="O103" s="73"/>
      <c r="P103" s="73"/>
    </row>
    <row r="104" spans="13:16" x14ac:dyDescent="0.2">
      <c r="M104" s="73"/>
      <c r="N104" s="73"/>
      <c r="O104" s="73"/>
      <c r="P104" s="73"/>
    </row>
    <row r="105" spans="13:16" x14ac:dyDescent="0.2">
      <c r="M105" s="73"/>
      <c r="N105" s="73"/>
      <c r="O105" s="73"/>
      <c r="P105" s="73"/>
    </row>
    <row r="106" spans="13:16" x14ac:dyDescent="0.2">
      <c r="M106" s="73"/>
      <c r="N106" s="73"/>
      <c r="O106" s="73"/>
      <c r="P106" s="73"/>
    </row>
    <row r="107" spans="13:16" x14ac:dyDescent="0.2">
      <c r="M107" s="73"/>
      <c r="N107" s="73"/>
      <c r="O107" s="73"/>
      <c r="P107" s="73"/>
    </row>
    <row r="108" spans="13:16" x14ac:dyDescent="0.2">
      <c r="M108" s="73"/>
      <c r="N108" s="73"/>
      <c r="O108" s="73"/>
      <c r="P108" s="73"/>
    </row>
    <row r="109" spans="13:16" x14ac:dyDescent="0.2">
      <c r="M109" s="73"/>
      <c r="N109" s="73"/>
      <c r="O109" s="73"/>
      <c r="P109" s="73"/>
    </row>
    <row r="110" spans="13:16" x14ac:dyDescent="0.2">
      <c r="M110" s="73"/>
      <c r="N110" s="73"/>
      <c r="O110" s="73"/>
      <c r="P110" s="73"/>
    </row>
    <row r="111" spans="13:16" x14ac:dyDescent="0.2">
      <c r="M111" s="73"/>
      <c r="N111" s="73"/>
      <c r="O111" s="73"/>
      <c r="P111" s="73"/>
    </row>
    <row r="112" spans="13:16" x14ac:dyDescent="0.2">
      <c r="M112" s="73"/>
      <c r="N112" s="73"/>
      <c r="O112" s="73"/>
      <c r="P112" s="73"/>
    </row>
    <row r="113" spans="5:16" ht="21" x14ac:dyDescent="0.2">
      <c r="E113" s="119" t="s">
        <v>340</v>
      </c>
      <c r="M113" s="73"/>
      <c r="N113" s="73"/>
      <c r="O113" s="73"/>
      <c r="P113" s="73"/>
    </row>
    <row r="114" spans="5:16" x14ac:dyDescent="0.2">
      <c r="M114" s="73"/>
      <c r="N114" s="73"/>
      <c r="O114" s="73"/>
      <c r="P114" s="73"/>
    </row>
    <row r="115" spans="5:16" x14ac:dyDescent="0.2">
      <c r="M115" s="73"/>
      <c r="N115" s="73"/>
      <c r="O115" s="73"/>
      <c r="P115" s="73"/>
    </row>
    <row r="116" spans="5:16" x14ac:dyDescent="0.2">
      <c r="M116" s="73"/>
      <c r="N116" s="73"/>
      <c r="O116" s="73"/>
      <c r="P116" s="73"/>
    </row>
    <row r="117" spans="5:16" x14ac:dyDescent="0.2">
      <c r="M117" s="73"/>
      <c r="N117" s="73"/>
      <c r="O117" s="73"/>
      <c r="P117" s="73"/>
    </row>
    <row r="118" spans="5:16" x14ac:dyDescent="0.2">
      <c r="M118" s="73"/>
      <c r="N118" s="73"/>
      <c r="O118" s="73"/>
      <c r="P118" s="73"/>
    </row>
    <row r="119" spans="5:16" x14ac:dyDescent="0.2">
      <c r="M119" s="73"/>
      <c r="N119" s="73"/>
      <c r="O119" s="73"/>
      <c r="P119" s="73"/>
    </row>
    <row r="120" spans="5:16" x14ac:dyDescent="0.2">
      <c r="M120" s="73"/>
      <c r="N120" s="73"/>
      <c r="O120" s="73"/>
      <c r="P120" s="73"/>
    </row>
    <row r="121" spans="5:16" x14ac:dyDescent="0.2">
      <c r="M121" s="73"/>
      <c r="N121" s="73"/>
      <c r="O121" s="73"/>
      <c r="P121" s="73"/>
    </row>
    <row r="122" spans="5:16" x14ac:dyDescent="0.2">
      <c r="M122" s="73"/>
      <c r="N122" s="73"/>
      <c r="O122" s="73"/>
      <c r="P122" s="73"/>
    </row>
    <row r="123" spans="5:16" x14ac:dyDescent="0.2">
      <c r="M123" s="73"/>
      <c r="N123" s="73"/>
      <c r="O123" s="73"/>
      <c r="P123" s="73"/>
    </row>
    <row r="124" spans="5:16" x14ac:dyDescent="0.2">
      <c r="M124" s="73"/>
      <c r="N124" s="73"/>
      <c r="O124" s="73"/>
      <c r="P124" s="73"/>
    </row>
    <row r="125" spans="5:16" x14ac:dyDescent="0.2">
      <c r="M125" s="73"/>
      <c r="N125" s="73"/>
      <c r="O125" s="73"/>
      <c r="P125" s="73"/>
    </row>
    <row r="126" spans="5:16" x14ac:dyDescent="0.2">
      <c r="M126" s="73"/>
      <c r="N126" s="73"/>
      <c r="O126" s="73"/>
      <c r="P126" s="73"/>
    </row>
    <row r="127" spans="5:16" x14ac:dyDescent="0.2">
      <c r="M127" s="73"/>
      <c r="N127" s="73"/>
      <c r="O127" s="73"/>
      <c r="P127" s="73"/>
    </row>
    <row r="128" spans="5:16" x14ac:dyDescent="0.2">
      <c r="M128" s="73"/>
      <c r="N128" s="73"/>
      <c r="O128" s="73"/>
      <c r="P128" s="73"/>
    </row>
    <row r="129" spans="13:16" x14ac:dyDescent="0.2">
      <c r="M129" s="73"/>
      <c r="N129" s="73"/>
      <c r="O129" s="73"/>
      <c r="P129" s="73"/>
    </row>
    <row r="130" spans="13:16" x14ac:dyDescent="0.2">
      <c r="M130" s="73"/>
      <c r="N130" s="73"/>
      <c r="O130" s="73"/>
      <c r="P130" s="73"/>
    </row>
    <row r="131" spans="13:16" x14ac:dyDescent="0.2">
      <c r="M131" s="73"/>
      <c r="N131" s="73"/>
      <c r="O131" s="73"/>
      <c r="P131" s="73"/>
    </row>
    <row r="132" spans="13:16" x14ac:dyDescent="0.2">
      <c r="M132" s="73"/>
      <c r="N132" s="73"/>
      <c r="O132" s="73"/>
      <c r="P132" s="73"/>
    </row>
    <row r="133" spans="13:16" x14ac:dyDescent="0.2">
      <c r="M133" s="73"/>
      <c r="N133" s="73"/>
      <c r="O133" s="73"/>
      <c r="P133" s="73"/>
    </row>
    <row r="134" spans="13:16" x14ac:dyDescent="0.2">
      <c r="M134" s="73"/>
      <c r="N134" s="73"/>
      <c r="O134" s="73"/>
      <c r="P134" s="73"/>
    </row>
    <row r="135" spans="13:16" x14ac:dyDescent="0.2">
      <c r="M135" s="73"/>
      <c r="N135" s="73"/>
      <c r="O135" s="73"/>
      <c r="P135" s="73"/>
    </row>
    <row r="136" spans="13:16" x14ac:dyDescent="0.2">
      <c r="M136" s="73"/>
      <c r="N136" s="73"/>
      <c r="O136" s="73"/>
      <c r="P136" s="73"/>
    </row>
    <row r="137" spans="13:16" x14ac:dyDescent="0.2">
      <c r="M137" s="73"/>
      <c r="N137" s="73"/>
      <c r="O137" s="73"/>
      <c r="P137" s="73"/>
    </row>
    <row r="138" spans="13:16" x14ac:dyDescent="0.2">
      <c r="M138" s="73"/>
      <c r="N138" s="73"/>
      <c r="O138" s="73"/>
      <c r="P138" s="73"/>
    </row>
    <row r="139" spans="13:16" x14ac:dyDescent="0.2">
      <c r="M139" s="73"/>
      <c r="N139" s="73"/>
      <c r="O139" s="73"/>
      <c r="P139" s="73"/>
    </row>
    <row r="140" spans="13:16" x14ac:dyDescent="0.2">
      <c r="M140" s="73"/>
      <c r="N140" s="73"/>
      <c r="O140" s="73"/>
      <c r="P140" s="73"/>
    </row>
    <row r="141" spans="13:16" x14ac:dyDescent="0.2">
      <c r="M141" s="73"/>
      <c r="N141" s="73"/>
      <c r="O141" s="73"/>
      <c r="P141" s="73"/>
    </row>
    <row r="142" spans="13:16" x14ac:dyDescent="0.2">
      <c r="M142" s="73"/>
      <c r="N142" s="73"/>
      <c r="O142" s="73"/>
      <c r="P142" s="73"/>
    </row>
    <row r="143" spans="13:16" x14ac:dyDescent="0.2">
      <c r="M143" s="73"/>
      <c r="N143" s="73"/>
      <c r="O143" s="73"/>
      <c r="P143" s="73"/>
    </row>
    <row r="144" spans="13:16" x14ac:dyDescent="0.2">
      <c r="M144" s="73"/>
      <c r="N144" s="73"/>
      <c r="O144" s="73"/>
      <c r="P144" s="73"/>
    </row>
    <row r="145" spans="13:16" x14ac:dyDescent="0.2">
      <c r="M145" s="73"/>
      <c r="N145" s="73"/>
      <c r="O145" s="73"/>
      <c r="P145" s="73"/>
    </row>
    <row r="146" spans="13:16" x14ac:dyDescent="0.2">
      <c r="M146" s="73"/>
      <c r="N146" s="73"/>
      <c r="O146" s="73"/>
      <c r="P146" s="73"/>
    </row>
    <row r="147" spans="13:16" x14ac:dyDescent="0.2">
      <c r="M147" s="73"/>
      <c r="N147" s="73"/>
      <c r="O147" s="73"/>
      <c r="P147" s="73"/>
    </row>
    <row r="148" spans="13:16" x14ac:dyDescent="0.2">
      <c r="M148" s="73"/>
      <c r="N148" s="73"/>
      <c r="O148" s="73"/>
      <c r="P148" s="73"/>
    </row>
    <row r="149" spans="13:16" x14ac:dyDescent="0.2">
      <c r="M149" s="73"/>
      <c r="N149" s="73"/>
      <c r="O149" s="73"/>
      <c r="P149" s="73"/>
    </row>
    <row r="150" spans="13:16" x14ac:dyDescent="0.2">
      <c r="M150" s="73"/>
      <c r="N150" s="73"/>
      <c r="O150" s="73"/>
      <c r="P150" s="73"/>
    </row>
    <row r="151" spans="13:16" x14ac:dyDescent="0.2">
      <c r="M151" s="73"/>
      <c r="N151" s="73"/>
      <c r="O151" s="73"/>
      <c r="P151" s="73"/>
    </row>
    <row r="152" spans="13:16" x14ac:dyDescent="0.2">
      <c r="M152" s="73"/>
      <c r="N152" s="73"/>
      <c r="O152" s="73"/>
      <c r="P152" s="73"/>
    </row>
    <row r="153" spans="13:16" x14ac:dyDescent="0.2">
      <c r="M153" s="73"/>
      <c r="N153" s="73"/>
      <c r="O153" s="73"/>
      <c r="P153" s="73"/>
    </row>
    <row r="154" spans="13:16" x14ac:dyDescent="0.2">
      <c r="M154" s="73"/>
      <c r="N154" s="73"/>
      <c r="O154" s="73"/>
      <c r="P154" s="73"/>
    </row>
    <row r="155" spans="13:16" x14ac:dyDescent="0.2">
      <c r="M155" s="73"/>
      <c r="N155" s="73"/>
      <c r="O155" s="73"/>
      <c r="P155" s="73"/>
    </row>
    <row r="156" spans="13:16" x14ac:dyDescent="0.2">
      <c r="M156" s="73"/>
      <c r="N156" s="73"/>
      <c r="O156" s="73"/>
      <c r="P156" s="73"/>
    </row>
    <row r="157" spans="13:16" x14ac:dyDescent="0.2">
      <c r="M157" s="73"/>
      <c r="N157" s="73"/>
      <c r="O157" s="73"/>
      <c r="P157" s="73"/>
    </row>
    <row r="158" spans="13:16" x14ac:dyDescent="0.2">
      <c r="M158" s="73"/>
      <c r="N158" s="73"/>
      <c r="O158" s="73"/>
      <c r="P158" s="73"/>
    </row>
    <row r="159" spans="13:16" x14ac:dyDescent="0.2">
      <c r="M159" s="73"/>
      <c r="N159" s="73"/>
      <c r="O159" s="73"/>
      <c r="P159" s="73"/>
    </row>
    <row r="160" spans="13:16" x14ac:dyDescent="0.2">
      <c r="M160" s="73"/>
      <c r="N160" s="73"/>
      <c r="O160" s="73"/>
      <c r="P160" s="73"/>
    </row>
    <row r="161" spans="13:16" x14ac:dyDescent="0.2">
      <c r="M161" s="73"/>
      <c r="N161" s="73"/>
      <c r="O161" s="73"/>
      <c r="P161" s="73"/>
    </row>
    <row r="162" spans="13:16" x14ac:dyDescent="0.2">
      <c r="M162" s="73"/>
      <c r="N162" s="73"/>
      <c r="O162" s="73"/>
      <c r="P162" s="73"/>
    </row>
    <row r="163" spans="13:16" x14ac:dyDescent="0.2">
      <c r="M163" s="73"/>
      <c r="N163" s="73"/>
      <c r="O163" s="73"/>
      <c r="P163" s="73"/>
    </row>
    <row r="164" spans="13:16" x14ac:dyDescent="0.2">
      <c r="M164" s="73"/>
      <c r="N164" s="73"/>
      <c r="O164" s="73"/>
      <c r="P164" s="73"/>
    </row>
    <row r="165" spans="13:16" x14ac:dyDescent="0.2">
      <c r="M165" s="73"/>
      <c r="N165" s="73"/>
      <c r="O165" s="73"/>
      <c r="P165" s="73"/>
    </row>
    <row r="166" spans="13:16" x14ac:dyDescent="0.2">
      <c r="M166" s="73"/>
      <c r="N166" s="73"/>
      <c r="O166" s="73"/>
      <c r="P166" s="73"/>
    </row>
    <row r="167" spans="13:16" x14ac:dyDescent="0.2">
      <c r="M167" s="73"/>
      <c r="N167" s="73"/>
      <c r="O167" s="73"/>
      <c r="P167" s="73"/>
    </row>
    <row r="168" spans="13:16" x14ac:dyDescent="0.2">
      <c r="M168" s="73"/>
      <c r="N168" s="73"/>
      <c r="O168" s="73"/>
      <c r="P168" s="73"/>
    </row>
    <row r="169" spans="13:16" x14ac:dyDescent="0.2">
      <c r="M169" s="73"/>
      <c r="N169" s="73"/>
      <c r="O169" s="73"/>
      <c r="P169" s="73"/>
    </row>
    <row r="170" spans="13:16" x14ac:dyDescent="0.2">
      <c r="M170" s="73"/>
      <c r="N170" s="73"/>
      <c r="O170" s="73"/>
      <c r="P170" s="73"/>
    </row>
    <row r="171" spans="13:16" x14ac:dyDescent="0.2">
      <c r="M171" s="73"/>
      <c r="N171" s="73"/>
      <c r="O171" s="73"/>
      <c r="P171" s="73"/>
    </row>
  </sheetData>
  <sheetProtection sheet="1" objects="1" scenarios="1" formatCells="0" select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38"/>
  <sheetViews>
    <sheetView workbookViewId="0">
      <selection activeCell="K2" sqref="K2"/>
    </sheetView>
  </sheetViews>
  <sheetFormatPr defaultRowHeight="12.75" x14ac:dyDescent="0.2"/>
  <cols>
    <col min="2" max="2" width="20" customWidth="1"/>
    <col min="3" max="3" width="13" customWidth="1"/>
    <col min="4" max="4" width="11.7109375" customWidth="1"/>
    <col min="5" max="5" width="9.85546875" customWidth="1"/>
    <col min="10" max="10" width="11" bestFit="1" customWidth="1"/>
  </cols>
  <sheetData>
    <row r="1" spans="1:17" ht="15.75" x14ac:dyDescent="0.25">
      <c r="A1" s="126" t="s">
        <v>312</v>
      </c>
      <c r="I1" s="73"/>
      <c r="J1" s="73"/>
      <c r="K1" s="73"/>
      <c r="L1" s="73"/>
      <c r="M1" s="73"/>
      <c r="N1" s="73"/>
      <c r="O1" s="73"/>
      <c r="P1" s="73"/>
      <c r="Q1" s="73"/>
    </row>
    <row r="2" spans="1:17" x14ac:dyDescent="0.2">
      <c r="B2" s="1" t="s">
        <v>343</v>
      </c>
      <c r="I2" s="73"/>
      <c r="J2" s="73"/>
      <c r="K2" s="73"/>
      <c r="L2" s="73"/>
      <c r="M2" s="73"/>
      <c r="N2" s="73"/>
      <c r="O2" s="73"/>
      <c r="P2" s="73"/>
      <c r="Q2" s="73"/>
    </row>
    <row r="3" spans="1:17" ht="15.75" x14ac:dyDescent="0.25">
      <c r="B3" s="126" t="s">
        <v>91</v>
      </c>
      <c r="I3" s="73"/>
      <c r="J3" s="73"/>
      <c r="K3" s="73"/>
      <c r="L3" s="73"/>
      <c r="M3" s="73"/>
      <c r="N3" s="73"/>
      <c r="O3" s="73"/>
      <c r="P3" s="73"/>
      <c r="Q3" s="73"/>
    </row>
    <row r="4" spans="1:17" x14ac:dyDescent="0.2">
      <c r="I4" s="73"/>
      <c r="J4" s="73"/>
      <c r="K4" s="73"/>
      <c r="L4" s="73"/>
      <c r="M4" s="73"/>
      <c r="N4" s="73"/>
      <c r="O4" s="73"/>
      <c r="P4" s="73"/>
      <c r="Q4" s="73"/>
    </row>
    <row r="5" spans="1:17" x14ac:dyDescent="0.2">
      <c r="A5" s="31"/>
      <c r="B5" s="3"/>
      <c r="I5" s="73"/>
      <c r="J5" s="73"/>
      <c r="K5" s="73"/>
      <c r="L5" s="73"/>
      <c r="M5" s="73"/>
      <c r="N5" s="73"/>
      <c r="O5" s="73"/>
      <c r="P5" s="73"/>
      <c r="Q5" s="73"/>
    </row>
    <row r="6" spans="1:17" x14ac:dyDescent="0.2">
      <c r="A6" s="4"/>
      <c r="B6" s="3"/>
      <c r="C6" s="11"/>
      <c r="D6" s="11"/>
      <c r="E6" s="11"/>
      <c r="I6" s="73"/>
      <c r="J6" s="73"/>
      <c r="K6" s="73"/>
      <c r="L6" s="73"/>
      <c r="M6" s="73"/>
      <c r="N6" s="73"/>
      <c r="O6" s="73"/>
      <c r="P6" s="73"/>
      <c r="Q6" s="73"/>
    </row>
    <row r="7" spans="1:17" x14ac:dyDescent="0.2">
      <c r="A7" s="4"/>
      <c r="B7" s="3"/>
      <c r="C7" s="11"/>
      <c r="D7" s="11"/>
      <c r="E7" s="11"/>
      <c r="I7" s="73"/>
      <c r="J7" s="73"/>
      <c r="K7" s="73"/>
      <c r="L7" s="73"/>
      <c r="M7" s="73"/>
      <c r="N7" s="73"/>
      <c r="O7" s="73"/>
      <c r="P7" s="73"/>
      <c r="Q7" s="73"/>
    </row>
    <row r="8" spans="1:17" x14ac:dyDescent="0.2">
      <c r="A8" s="2"/>
      <c r="B8" s="31"/>
      <c r="C8" s="11"/>
      <c r="D8" s="11"/>
      <c r="E8" s="11"/>
      <c r="I8" s="73"/>
      <c r="J8" s="73"/>
      <c r="K8" s="73"/>
      <c r="L8" s="73"/>
      <c r="M8" s="73"/>
      <c r="N8" s="73"/>
      <c r="O8" s="73"/>
      <c r="P8" s="73"/>
      <c r="Q8" s="73"/>
    </row>
    <row r="9" spans="1:17" x14ac:dyDescent="0.2">
      <c r="A9" s="31"/>
      <c r="C9" s="1"/>
      <c r="D9" s="11"/>
      <c r="E9" s="11"/>
      <c r="I9" s="73"/>
      <c r="J9" s="73"/>
      <c r="K9" s="73"/>
      <c r="L9" s="73"/>
      <c r="M9" s="73"/>
      <c r="N9" s="73"/>
      <c r="O9" s="73"/>
      <c r="P9" s="73"/>
      <c r="Q9" s="73"/>
    </row>
    <row r="10" spans="1:17" x14ac:dyDescent="0.2">
      <c r="A10" s="4"/>
      <c r="C10" s="11"/>
      <c r="D10" s="11"/>
      <c r="I10" s="73"/>
      <c r="J10" s="73"/>
      <c r="K10" s="73"/>
      <c r="L10" s="73"/>
      <c r="M10" s="73"/>
      <c r="N10" s="73"/>
      <c r="O10" s="73"/>
      <c r="P10" s="73"/>
      <c r="Q10" s="73"/>
    </row>
    <row r="11" spans="1:17" x14ac:dyDescent="0.2">
      <c r="A11" s="32"/>
      <c r="C11" s="11"/>
      <c r="D11" s="11"/>
      <c r="I11" s="73"/>
      <c r="J11" s="73"/>
      <c r="K11" s="73"/>
      <c r="L11" s="73"/>
      <c r="M11" s="73"/>
      <c r="N11" s="73"/>
      <c r="O11" s="73"/>
      <c r="P11" s="73"/>
      <c r="Q11" s="73"/>
    </row>
    <row r="12" spans="1:17" x14ac:dyDescent="0.2">
      <c r="A12" s="4"/>
      <c r="C12" s="11"/>
      <c r="D12" s="11"/>
      <c r="I12" s="73"/>
      <c r="J12" s="73"/>
      <c r="K12" s="73"/>
      <c r="L12" s="73"/>
      <c r="M12" s="73"/>
      <c r="N12" s="73"/>
      <c r="O12" s="73"/>
      <c r="P12" s="73"/>
      <c r="Q12" s="73"/>
    </row>
    <row r="13" spans="1:17" x14ac:dyDescent="0.2">
      <c r="A13" s="31"/>
      <c r="C13" s="11"/>
      <c r="D13" s="11"/>
      <c r="I13" s="73"/>
      <c r="J13" s="73"/>
      <c r="K13" s="73"/>
      <c r="L13" s="73"/>
      <c r="M13" s="73"/>
      <c r="N13" s="73"/>
      <c r="O13" s="73"/>
      <c r="P13" s="73"/>
      <c r="Q13" s="73"/>
    </row>
    <row r="14" spans="1:17" x14ac:dyDescent="0.2">
      <c r="A14" s="15"/>
      <c r="I14" s="73"/>
      <c r="J14" s="73"/>
      <c r="K14" s="73"/>
      <c r="L14" s="73"/>
      <c r="M14" s="73"/>
      <c r="N14" s="73"/>
      <c r="O14" s="73"/>
      <c r="P14" s="73"/>
      <c r="Q14" s="73"/>
    </row>
    <row r="15" spans="1:17" x14ac:dyDescent="0.2">
      <c r="I15" s="73"/>
      <c r="J15" s="73"/>
      <c r="K15" s="73"/>
      <c r="L15" s="73"/>
      <c r="M15" s="73"/>
      <c r="N15" s="73"/>
      <c r="O15" s="73"/>
      <c r="P15" s="73"/>
      <c r="Q15" s="73"/>
    </row>
    <row r="16" spans="1:17" x14ac:dyDescent="0.2">
      <c r="I16" s="73"/>
      <c r="J16" s="73"/>
      <c r="K16" s="73"/>
      <c r="L16" s="73"/>
      <c r="M16" s="73"/>
      <c r="N16" s="73"/>
      <c r="O16" s="73"/>
      <c r="P16" s="73"/>
      <c r="Q16" s="73"/>
    </row>
    <row r="17" spans="1:17" x14ac:dyDescent="0.2">
      <c r="I17" s="73"/>
      <c r="J17" s="73"/>
      <c r="K17" s="73"/>
      <c r="L17" s="73"/>
      <c r="M17" s="73"/>
      <c r="N17" s="73"/>
      <c r="O17" s="73"/>
      <c r="P17" s="73"/>
      <c r="Q17" s="73"/>
    </row>
    <row r="18" spans="1:17" x14ac:dyDescent="0.2">
      <c r="I18" s="73"/>
      <c r="J18" s="73"/>
      <c r="K18" s="73"/>
      <c r="L18" s="73"/>
      <c r="M18" s="73"/>
      <c r="N18" s="73"/>
      <c r="O18" s="73"/>
      <c r="P18" s="73"/>
      <c r="Q18" s="73"/>
    </row>
    <row r="19" spans="1:17" x14ac:dyDescent="0.2">
      <c r="A19" s="32"/>
      <c r="I19" s="73"/>
      <c r="J19" s="73"/>
      <c r="K19" s="73"/>
      <c r="L19" s="73"/>
      <c r="M19" s="73"/>
      <c r="N19" s="73"/>
      <c r="O19" s="73"/>
      <c r="P19" s="73"/>
      <c r="Q19" s="73"/>
    </row>
    <row r="20" spans="1:17" x14ac:dyDescent="0.2">
      <c r="A20" s="15"/>
      <c r="B20" s="11"/>
      <c r="C20" s="11"/>
      <c r="D20" s="11"/>
      <c r="E20" s="11"/>
      <c r="I20" s="73"/>
      <c r="J20" s="73"/>
      <c r="K20" s="73"/>
      <c r="L20" s="73"/>
      <c r="M20" s="73"/>
      <c r="N20" s="73"/>
      <c r="O20" s="73"/>
      <c r="P20" s="73"/>
      <c r="Q20" s="73"/>
    </row>
    <row r="21" spans="1:17" ht="13.5" thickBot="1" x14ac:dyDescent="0.25">
      <c r="A21" s="15"/>
      <c r="B21" s="3"/>
      <c r="C21" s="5" t="s">
        <v>0</v>
      </c>
      <c r="E21" s="11"/>
      <c r="I21" s="73"/>
      <c r="J21" s="73"/>
      <c r="K21" s="73"/>
      <c r="L21" s="73"/>
      <c r="M21" s="73"/>
      <c r="N21" s="73"/>
      <c r="O21" s="73"/>
      <c r="P21" s="73"/>
      <c r="Q21" s="73"/>
    </row>
    <row r="22" spans="1:17" ht="13.5" thickBot="1" x14ac:dyDescent="0.25">
      <c r="B22" s="9" t="s">
        <v>154</v>
      </c>
      <c r="C22" s="95">
        <v>12</v>
      </c>
      <c r="D22" s="1" t="s">
        <v>3</v>
      </c>
      <c r="E22" s="11"/>
      <c r="I22" s="73"/>
      <c r="J22" s="73"/>
      <c r="K22" s="73"/>
      <c r="L22" s="73"/>
      <c r="M22" s="73"/>
      <c r="N22" s="73"/>
      <c r="O22" s="73"/>
      <c r="P22" s="73"/>
      <c r="Q22" s="73"/>
    </row>
    <row r="23" spans="1:17" ht="13.5" thickBot="1" x14ac:dyDescent="0.25">
      <c r="A23" s="15"/>
      <c r="B23" s="9" t="s">
        <v>155</v>
      </c>
      <c r="C23" s="92">
        <v>15.999011729833324</v>
      </c>
      <c r="D23" s="1" t="s">
        <v>3</v>
      </c>
      <c r="I23" s="73"/>
      <c r="J23" s="73"/>
      <c r="K23" s="73"/>
      <c r="L23" s="73"/>
      <c r="M23" s="73"/>
      <c r="N23" s="73"/>
      <c r="O23" s="73"/>
      <c r="P23" s="73"/>
      <c r="Q23" s="73"/>
    </row>
    <row r="24" spans="1:17" x14ac:dyDescent="0.2">
      <c r="A24" s="15"/>
      <c r="B24" s="2"/>
      <c r="C24" s="5" t="s">
        <v>101</v>
      </c>
      <c r="I24" s="73"/>
      <c r="J24" s="73"/>
      <c r="K24" s="73"/>
      <c r="L24" s="73"/>
      <c r="M24" s="73"/>
      <c r="N24" s="73"/>
      <c r="O24" s="73"/>
      <c r="P24" s="73"/>
      <c r="Q24" s="73"/>
    </row>
    <row r="25" spans="1:17" ht="13.5" thickBot="1" x14ac:dyDescent="0.25">
      <c r="B25" s="9" t="s">
        <v>156</v>
      </c>
      <c r="C25" s="4" t="s">
        <v>157</v>
      </c>
      <c r="D25" s="1"/>
      <c r="I25" s="73"/>
      <c r="J25" s="73"/>
      <c r="K25" s="73"/>
      <c r="L25" s="73"/>
      <c r="M25" s="73"/>
      <c r="N25" s="73"/>
      <c r="O25" s="73"/>
      <c r="P25" s="73"/>
      <c r="Q25" s="73"/>
    </row>
    <row r="26" spans="1:17" ht="13.5" thickBot="1" x14ac:dyDescent="0.25">
      <c r="A26" s="33"/>
      <c r="B26" s="7" t="s">
        <v>6</v>
      </c>
      <c r="C26" s="128">
        <f>( C22^2 + C23^2 )^(1/2)</f>
        <v>19.999209392657107</v>
      </c>
      <c r="D26" s="1" t="s">
        <v>3</v>
      </c>
      <c r="I26" s="73"/>
      <c r="J26" s="73"/>
      <c r="K26" s="73"/>
      <c r="L26" s="73"/>
      <c r="M26" s="73"/>
      <c r="N26" s="73"/>
      <c r="O26" s="73"/>
      <c r="P26" s="73"/>
      <c r="Q26" s="73"/>
    </row>
    <row r="27" spans="1:17" x14ac:dyDescent="0.2">
      <c r="B27" s="9" t="s">
        <v>158</v>
      </c>
      <c r="C27" s="1" t="s">
        <v>159</v>
      </c>
      <c r="D27" s="1"/>
      <c r="I27" s="73"/>
      <c r="J27" s="73"/>
      <c r="K27" s="73"/>
      <c r="L27" s="73"/>
      <c r="M27" s="73"/>
      <c r="N27" s="73"/>
      <c r="O27" s="73"/>
      <c r="P27" s="73"/>
      <c r="Q27" s="73"/>
    </row>
    <row r="28" spans="1:17" x14ac:dyDescent="0.2">
      <c r="C28" s="8">
        <f>57.3 * ATAN(C23 / C22)</f>
        <v>53.132317087917329</v>
      </c>
      <c r="D28" s="1" t="s">
        <v>72</v>
      </c>
      <c r="I28" s="73"/>
      <c r="J28" s="73"/>
      <c r="K28" s="73"/>
      <c r="L28" s="73"/>
      <c r="M28" s="73"/>
      <c r="N28" s="73"/>
      <c r="O28" s="73"/>
      <c r="P28" s="73"/>
      <c r="Q28" s="73"/>
    </row>
    <row r="29" spans="1:17" x14ac:dyDescent="0.2">
      <c r="I29" s="73"/>
      <c r="J29" s="73"/>
      <c r="K29" s="73"/>
      <c r="L29" s="73"/>
      <c r="M29" s="73"/>
      <c r="N29" s="73"/>
      <c r="O29" s="73"/>
      <c r="P29" s="73"/>
      <c r="Q29" s="73"/>
    </row>
    <row r="30" spans="1:17" x14ac:dyDescent="0.2">
      <c r="C30" s="2"/>
      <c r="D30" s="9"/>
      <c r="E30" s="34"/>
      <c r="I30" s="73"/>
      <c r="J30" s="73"/>
      <c r="K30" s="73"/>
      <c r="L30" s="73"/>
      <c r="M30" s="73"/>
      <c r="N30" s="73"/>
      <c r="O30" s="73"/>
      <c r="P30" s="73"/>
      <c r="Q30" s="73"/>
    </row>
    <row r="31" spans="1:17" x14ac:dyDescent="0.2">
      <c r="C31" s="2"/>
      <c r="D31" s="2"/>
      <c r="E31" s="5"/>
      <c r="I31" s="73"/>
      <c r="J31" s="73"/>
      <c r="K31" s="73"/>
      <c r="L31" s="73"/>
      <c r="M31" s="73"/>
      <c r="N31" s="73"/>
      <c r="O31" s="73"/>
      <c r="P31" s="73"/>
      <c r="Q31" s="73"/>
    </row>
    <row r="32" spans="1:17" x14ac:dyDescent="0.2">
      <c r="C32" s="2"/>
      <c r="D32" s="9"/>
      <c r="E32" s="3"/>
      <c r="I32" s="73"/>
      <c r="J32" s="73"/>
      <c r="K32" s="73"/>
      <c r="L32" s="73"/>
      <c r="M32" s="73"/>
      <c r="N32" s="73"/>
      <c r="O32" s="73"/>
      <c r="P32" s="73"/>
      <c r="Q32" s="73"/>
    </row>
    <row r="33" spans="3:17" x14ac:dyDescent="0.2">
      <c r="C33" s="2"/>
      <c r="D33" s="6"/>
      <c r="E33" s="35"/>
      <c r="I33" s="73"/>
      <c r="J33" s="73"/>
      <c r="K33" s="73"/>
      <c r="L33" s="73"/>
      <c r="M33" s="73"/>
      <c r="N33" s="73"/>
      <c r="O33" s="73"/>
      <c r="P33" s="73"/>
      <c r="Q33" s="73"/>
    </row>
    <row r="34" spans="3:17" x14ac:dyDescent="0.2">
      <c r="C34" s="2"/>
      <c r="D34" s="9"/>
      <c r="E34" s="3"/>
      <c r="I34" s="73"/>
      <c r="J34" s="73"/>
      <c r="K34" s="73"/>
      <c r="L34" s="73"/>
      <c r="M34" s="73"/>
      <c r="N34" s="73"/>
      <c r="O34" s="73"/>
      <c r="P34" s="73"/>
      <c r="Q34" s="73"/>
    </row>
    <row r="35" spans="3:17" x14ac:dyDescent="0.2">
      <c r="C35" s="2"/>
      <c r="D35" s="6"/>
      <c r="E35" s="36"/>
      <c r="I35" s="73"/>
      <c r="J35" s="73"/>
      <c r="K35" s="73"/>
      <c r="L35" s="73"/>
      <c r="M35" s="73"/>
      <c r="N35" s="73"/>
      <c r="O35" s="73"/>
      <c r="P35" s="73"/>
      <c r="Q35" s="73"/>
    </row>
    <row r="36" spans="3:17" x14ac:dyDescent="0.2">
      <c r="C36" s="2"/>
      <c r="D36" s="2"/>
      <c r="E36" s="37"/>
      <c r="I36" s="73"/>
      <c r="J36" s="73"/>
      <c r="K36" s="73"/>
      <c r="L36" s="73"/>
      <c r="M36" s="73"/>
      <c r="N36" s="73"/>
      <c r="O36" s="73"/>
      <c r="P36" s="73"/>
      <c r="Q36" s="73"/>
    </row>
    <row r="37" spans="3:17" x14ac:dyDescent="0.2">
      <c r="C37" s="2"/>
      <c r="I37" s="73"/>
      <c r="J37" s="73"/>
      <c r="K37" s="73"/>
      <c r="L37" s="73"/>
      <c r="M37" s="73"/>
      <c r="N37" s="73"/>
      <c r="O37" s="73"/>
      <c r="P37" s="73"/>
      <c r="Q37" s="73"/>
    </row>
    <row r="38" spans="3:17" x14ac:dyDescent="0.2">
      <c r="C38" s="2"/>
      <c r="D38" s="3"/>
      <c r="I38" s="73"/>
      <c r="J38" s="73"/>
      <c r="K38" s="73"/>
      <c r="L38" s="73"/>
      <c r="M38" s="73"/>
      <c r="N38" s="73"/>
      <c r="O38" s="73"/>
      <c r="P38" s="73"/>
      <c r="Q38" s="73"/>
    </row>
    <row r="39" spans="3:17" x14ac:dyDescent="0.2">
      <c r="C39" s="2"/>
      <c r="I39" s="73"/>
      <c r="J39" s="73"/>
      <c r="K39" s="73"/>
      <c r="L39" s="73"/>
      <c r="M39" s="73"/>
      <c r="N39" s="73"/>
      <c r="O39" s="73"/>
      <c r="P39" s="73"/>
      <c r="Q39" s="73"/>
    </row>
    <row r="40" spans="3:17" x14ac:dyDescent="0.2">
      <c r="C40" s="2"/>
      <c r="I40" s="73"/>
      <c r="J40" s="73"/>
      <c r="K40" s="73"/>
      <c r="L40" s="73"/>
      <c r="M40" s="73"/>
      <c r="N40" s="73"/>
      <c r="O40" s="73"/>
      <c r="P40" s="73"/>
      <c r="Q40" s="73"/>
    </row>
    <row r="41" spans="3:17" x14ac:dyDescent="0.2">
      <c r="C41" s="33"/>
      <c r="I41" s="73"/>
      <c r="J41" s="73"/>
      <c r="K41" s="73"/>
      <c r="L41" s="73"/>
      <c r="M41" s="73"/>
      <c r="N41" s="73"/>
      <c r="O41" s="73"/>
      <c r="P41" s="73"/>
      <c r="Q41" s="73"/>
    </row>
    <row r="42" spans="3:17" x14ac:dyDescent="0.2">
      <c r="I42" s="73"/>
      <c r="J42" s="73"/>
      <c r="K42" s="73"/>
      <c r="L42" s="73"/>
      <c r="M42" s="73"/>
      <c r="N42" s="73"/>
      <c r="O42" s="73"/>
      <c r="P42" s="73"/>
      <c r="Q42" s="73"/>
    </row>
    <row r="43" spans="3:17" x14ac:dyDescent="0.2">
      <c r="C43" s="2"/>
      <c r="I43" s="73"/>
      <c r="J43" s="73"/>
      <c r="K43" s="73"/>
      <c r="L43" s="73"/>
      <c r="M43" s="73"/>
      <c r="N43" s="73"/>
      <c r="O43" s="73"/>
      <c r="P43" s="73"/>
      <c r="Q43" s="73"/>
    </row>
    <row r="44" spans="3:17" x14ac:dyDescent="0.2">
      <c r="C44" s="2"/>
      <c r="I44" s="73"/>
      <c r="J44" s="73"/>
      <c r="K44" s="73"/>
      <c r="L44" s="73"/>
      <c r="M44" s="73"/>
      <c r="N44" s="73"/>
      <c r="O44" s="73"/>
      <c r="P44" s="73"/>
      <c r="Q44" s="73"/>
    </row>
    <row r="45" spans="3:17" x14ac:dyDescent="0.2">
      <c r="C45" s="2"/>
      <c r="D45" s="2"/>
      <c r="E45" s="31"/>
      <c r="I45" s="73"/>
      <c r="J45" s="73"/>
      <c r="K45" s="73"/>
      <c r="L45" s="73"/>
      <c r="M45" s="73"/>
      <c r="N45" s="73"/>
      <c r="O45" s="73"/>
      <c r="P45" s="73"/>
      <c r="Q45" s="73"/>
    </row>
    <row r="46" spans="3:17" x14ac:dyDescent="0.2">
      <c r="C46" s="2"/>
      <c r="D46" s="9"/>
      <c r="E46" s="44"/>
      <c r="I46" s="73"/>
      <c r="J46" s="73"/>
      <c r="K46" s="73"/>
      <c r="L46" s="73"/>
      <c r="M46" s="73"/>
      <c r="N46" s="73"/>
      <c r="O46" s="73"/>
      <c r="P46" s="73"/>
      <c r="Q46" s="73"/>
    </row>
    <row r="47" spans="3:17" x14ac:dyDescent="0.2">
      <c r="C47" s="2"/>
      <c r="D47" s="2"/>
      <c r="E47" s="31"/>
      <c r="I47" s="73"/>
      <c r="J47" s="73"/>
      <c r="K47" s="73"/>
      <c r="L47" s="73"/>
      <c r="M47" s="73"/>
      <c r="N47" s="73"/>
      <c r="O47" s="73"/>
      <c r="P47" s="73"/>
      <c r="Q47" s="73"/>
    </row>
    <row r="48" spans="3:17" x14ac:dyDescent="0.2">
      <c r="C48" s="2"/>
      <c r="D48" s="9"/>
      <c r="E48" s="3"/>
      <c r="I48" s="73"/>
      <c r="J48" s="73"/>
      <c r="K48" s="73"/>
      <c r="L48" s="73"/>
      <c r="M48" s="73"/>
      <c r="N48" s="73"/>
      <c r="O48" s="73"/>
      <c r="P48" s="73"/>
      <c r="Q48" s="73"/>
    </row>
    <row r="49" spans="3:17" x14ac:dyDescent="0.2">
      <c r="C49" s="2"/>
      <c r="D49" s="2" t="s">
        <v>29</v>
      </c>
      <c r="E49" s="45"/>
      <c r="I49" s="73"/>
      <c r="J49" s="73"/>
      <c r="K49" s="73"/>
      <c r="L49" s="73"/>
      <c r="M49" s="73"/>
      <c r="N49" s="73"/>
      <c r="O49" s="73"/>
      <c r="P49" s="73"/>
      <c r="Q49" s="73"/>
    </row>
    <row r="50" spans="3:17" x14ac:dyDescent="0.2">
      <c r="C50" s="2"/>
      <c r="D50" s="9"/>
      <c r="E50" s="3"/>
      <c r="I50" s="73"/>
      <c r="J50" s="73"/>
      <c r="K50" s="73"/>
      <c r="L50" s="73"/>
      <c r="M50" s="73"/>
      <c r="N50" s="73"/>
      <c r="O50" s="73"/>
      <c r="P50" s="73"/>
      <c r="Q50" s="73"/>
    </row>
    <row r="51" spans="3:17" x14ac:dyDescent="0.2">
      <c r="D51" s="6"/>
      <c r="E51" s="36"/>
      <c r="I51" s="73"/>
      <c r="J51" s="73"/>
      <c r="K51" s="73"/>
      <c r="L51" s="73"/>
      <c r="M51" s="73"/>
      <c r="N51" s="73"/>
      <c r="O51" s="73"/>
      <c r="P51" s="73"/>
      <c r="Q51" s="73"/>
    </row>
    <row r="52" spans="3:17" x14ac:dyDescent="0.2">
      <c r="D52" s="2"/>
      <c r="E52" s="38"/>
      <c r="I52" s="73"/>
      <c r="J52" s="73"/>
      <c r="K52" s="73"/>
      <c r="L52" s="73"/>
      <c r="M52" s="73"/>
      <c r="N52" s="73"/>
      <c r="O52" s="73"/>
      <c r="P52" s="73"/>
      <c r="Q52" s="73"/>
    </row>
    <row r="53" spans="3:17" x14ac:dyDescent="0.2">
      <c r="I53" s="73"/>
      <c r="J53" s="73"/>
      <c r="K53" s="73"/>
      <c r="L53" s="73"/>
      <c r="M53" s="73"/>
      <c r="N53" s="73"/>
      <c r="O53" s="73"/>
      <c r="P53" s="73"/>
      <c r="Q53" s="73"/>
    </row>
    <row r="54" spans="3:17" x14ac:dyDescent="0.2">
      <c r="I54" s="73"/>
      <c r="J54" s="73"/>
      <c r="K54" s="73"/>
      <c r="L54" s="73"/>
      <c r="M54" s="73"/>
      <c r="N54" s="73"/>
      <c r="O54" s="73"/>
      <c r="P54" s="73"/>
      <c r="Q54" s="73"/>
    </row>
    <row r="55" spans="3:17" x14ac:dyDescent="0.2">
      <c r="I55" s="73"/>
      <c r="J55" s="73"/>
      <c r="K55" s="73"/>
      <c r="L55" s="73"/>
      <c r="M55" s="73"/>
      <c r="N55" s="73"/>
      <c r="O55" s="73"/>
      <c r="P55" s="73"/>
      <c r="Q55" s="73"/>
    </row>
    <row r="56" spans="3:17" x14ac:dyDescent="0.2">
      <c r="I56" s="73"/>
      <c r="J56" s="73"/>
      <c r="K56" s="73"/>
      <c r="L56" s="73"/>
      <c r="M56" s="73"/>
      <c r="N56" s="73"/>
      <c r="O56" s="73"/>
      <c r="P56" s="73"/>
      <c r="Q56" s="73"/>
    </row>
    <row r="57" spans="3:17" x14ac:dyDescent="0.2">
      <c r="I57" s="73"/>
      <c r="J57" s="73"/>
      <c r="K57" s="73"/>
      <c r="L57" s="73"/>
      <c r="M57" s="73"/>
      <c r="N57" s="73"/>
      <c r="O57" s="73"/>
      <c r="P57" s="73"/>
      <c r="Q57" s="73"/>
    </row>
    <row r="58" spans="3:17" x14ac:dyDescent="0.2">
      <c r="I58" s="73"/>
      <c r="J58" s="73"/>
      <c r="K58" s="73"/>
      <c r="L58" s="73"/>
      <c r="M58" s="73"/>
      <c r="N58" s="73"/>
      <c r="O58" s="73"/>
      <c r="P58" s="73"/>
      <c r="Q58" s="73"/>
    </row>
    <row r="59" spans="3:17" x14ac:dyDescent="0.2">
      <c r="I59" s="73"/>
      <c r="J59" s="73"/>
      <c r="K59" s="73"/>
      <c r="L59" s="73"/>
      <c r="M59" s="73"/>
      <c r="N59" s="73"/>
      <c r="O59" s="73"/>
      <c r="P59" s="73"/>
      <c r="Q59" s="73"/>
    </row>
    <row r="60" spans="3:17" x14ac:dyDescent="0.2">
      <c r="I60" s="73"/>
      <c r="J60" s="73"/>
      <c r="K60" s="73"/>
      <c r="L60" s="73"/>
      <c r="M60" s="73"/>
      <c r="N60" s="73"/>
      <c r="O60" s="73"/>
      <c r="P60" s="73"/>
      <c r="Q60" s="73"/>
    </row>
    <row r="61" spans="3:17" x14ac:dyDescent="0.2">
      <c r="I61" s="73"/>
      <c r="J61" s="73"/>
      <c r="K61" s="73"/>
      <c r="L61" s="73"/>
      <c r="M61" s="73"/>
      <c r="N61" s="73"/>
      <c r="O61" s="73"/>
      <c r="P61" s="73"/>
      <c r="Q61" s="73"/>
    </row>
    <row r="62" spans="3:17" x14ac:dyDescent="0.2">
      <c r="I62" s="73"/>
      <c r="J62" s="73"/>
      <c r="K62" s="73"/>
      <c r="L62" s="73"/>
      <c r="M62" s="73"/>
      <c r="N62" s="73"/>
      <c r="O62" s="73"/>
      <c r="P62" s="73"/>
      <c r="Q62" s="73"/>
    </row>
    <row r="63" spans="3:17" x14ac:dyDescent="0.2">
      <c r="I63" s="73"/>
      <c r="J63" s="73"/>
      <c r="K63" s="73"/>
      <c r="L63" s="73"/>
      <c r="M63" s="73"/>
      <c r="N63" s="73"/>
      <c r="O63" s="73"/>
      <c r="P63" s="73"/>
      <c r="Q63" s="73"/>
    </row>
    <row r="64" spans="3:17" x14ac:dyDescent="0.2">
      <c r="I64" s="73"/>
      <c r="J64" s="73"/>
      <c r="K64" s="73"/>
      <c r="L64" s="73"/>
      <c r="M64" s="73"/>
      <c r="N64" s="73"/>
      <c r="O64" s="73"/>
      <c r="P64" s="73"/>
      <c r="Q64" s="73"/>
    </row>
    <row r="65" spans="4:17" x14ac:dyDescent="0.2">
      <c r="I65" s="73"/>
      <c r="J65" s="73"/>
      <c r="K65" s="73"/>
      <c r="L65" s="73"/>
      <c r="M65" s="73"/>
      <c r="N65" s="73"/>
      <c r="O65" s="73"/>
      <c r="P65" s="73"/>
      <c r="Q65" s="73"/>
    </row>
    <row r="66" spans="4:17" x14ac:dyDescent="0.2">
      <c r="I66" s="73"/>
      <c r="J66" s="73"/>
      <c r="K66" s="73"/>
      <c r="L66" s="73"/>
      <c r="M66" s="73"/>
      <c r="N66" s="73"/>
      <c r="O66" s="73"/>
      <c r="P66" s="73"/>
      <c r="Q66" s="73"/>
    </row>
    <row r="67" spans="4:17" x14ac:dyDescent="0.2">
      <c r="I67" s="73"/>
      <c r="J67" s="73"/>
      <c r="K67" s="73"/>
      <c r="L67" s="73"/>
      <c r="M67" s="73"/>
      <c r="N67" s="73"/>
      <c r="O67" s="73"/>
      <c r="P67" s="73"/>
      <c r="Q67" s="73"/>
    </row>
    <row r="68" spans="4:17" x14ac:dyDescent="0.2">
      <c r="I68" s="73"/>
      <c r="J68" s="73"/>
      <c r="K68" s="73"/>
      <c r="L68" s="73"/>
      <c r="M68" s="73"/>
      <c r="N68" s="73"/>
      <c r="O68" s="73"/>
      <c r="P68" s="73"/>
      <c r="Q68" s="73"/>
    </row>
    <row r="69" spans="4:17" x14ac:dyDescent="0.2">
      <c r="I69" s="73"/>
      <c r="J69" s="73"/>
      <c r="K69" s="73"/>
      <c r="L69" s="73"/>
      <c r="M69" s="73"/>
      <c r="N69" s="73"/>
      <c r="O69" s="73"/>
      <c r="P69" s="73"/>
      <c r="Q69" s="73"/>
    </row>
    <row r="70" spans="4:17" x14ac:dyDescent="0.2">
      <c r="I70" s="73"/>
      <c r="J70" s="73"/>
      <c r="K70" s="73"/>
      <c r="L70" s="73"/>
      <c r="M70" s="73"/>
      <c r="N70" s="73"/>
      <c r="O70" s="73"/>
      <c r="P70" s="73"/>
      <c r="Q70" s="73"/>
    </row>
    <row r="71" spans="4:17" x14ac:dyDescent="0.2">
      <c r="I71" s="73"/>
      <c r="J71" s="73"/>
      <c r="K71" s="73"/>
      <c r="L71" s="73"/>
      <c r="M71" s="73"/>
      <c r="N71" s="73"/>
      <c r="O71" s="73"/>
      <c r="P71" s="73"/>
      <c r="Q71" s="73"/>
    </row>
    <row r="72" spans="4:17" x14ac:dyDescent="0.2">
      <c r="I72" s="73"/>
      <c r="J72" s="73"/>
      <c r="K72" s="73"/>
      <c r="L72" s="73"/>
      <c r="M72" s="73"/>
      <c r="N72" s="73"/>
      <c r="O72" s="73"/>
      <c r="P72" s="73"/>
      <c r="Q72" s="73"/>
    </row>
    <row r="73" spans="4:17" x14ac:dyDescent="0.2">
      <c r="I73" s="73"/>
      <c r="J73" s="73"/>
      <c r="K73" s="73"/>
      <c r="L73" s="73"/>
      <c r="M73" s="73"/>
      <c r="N73" s="73"/>
      <c r="O73" s="73"/>
      <c r="P73" s="73"/>
      <c r="Q73" s="73"/>
    </row>
    <row r="74" spans="4:17" x14ac:dyDescent="0.2">
      <c r="I74" s="73"/>
      <c r="J74" s="73"/>
      <c r="K74" s="73"/>
      <c r="L74" s="73"/>
      <c r="M74" s="73"/>
      <c r="N74" s="73"/>
      <c r="O74" s="73"/>
      <c r="P74" s="73"/>
      <c r="Q74" s="73"/>
    </row>
    <row r="75" spans="4:17" x14ac:dyDescent="0.2">
      <c r="I75" s="73"/>
      <c r="J75" s="73"/>
      <c r="K75" s="73"/>
      <c r="L75" s="73"/>
      <c r="M75" s="73"/>
      <c r="N75" s="73"/>
      <c r="O75" s="73"/>
      <c r="P75" s="73"/>
      <c r="Q75" s="73"/>
    </row>
    <row r="76" spans="4:17" x14ac:dyDescent="0.2">
      <c r="D76" s="9"/>
      <c r="E76" s="1"/>
      <c r="F76" s="1"/>
      <c r="I76" s="73"/>
      <c r="J76" s="73"/>
      <c r="K76" s="73"/>
      <c r="L76" s="73"/>
      <c r="M76" s="73"/>
      <c r="N76" s="73"/>
      <c r="O76" s="73"/>
      <c r="P76" s="73"/>
      <c r="Q76" s="73"/>
    </row>
    <row r="77" spans="4:17" x14ac:dyDescent="0.2">
      <c r="D77" s="1"/>
      <c r="E77" s="8"/>
      <c r="F77" s="1"/>
      <c r="I77" s="73"/>
      <c r="J77" s="73"/>
      <c r="K77" s="73"/>
      <c r="L77" s="73"/>
      <c r="M77" s="73"/>
      <c r="N77" s="73"/>
      <c r="O77" s="73"/>
      <c r="P77" s="73"/>
      <c r="Q77" s="73"/>
    </row>
    <row r="78" spans="4:17" x14ac:dyDescent="0.2">
      <c r="D78" s="9"/>
      <c r="E78" s="1"/>
      <c r="F78" s="1"/>
      <c r="I78" s="73"/>
      <c r="J78" s="73"/>
      <c r="K78" s="73"/>
      <c r="L78" s="73"/>
      <c r="M78" s="73"/>
      <c r="N78" s="73"/>
      <c r="O78" s="73"/>
      <c r="P78" s="73"/>
      <c r="Q78" s="73"/>
    </row>
    <row r="79" spans="4:17" x14ac:dyDescent="0.2">
      <c r="D79" s="1"/>
      <c r="E79" s="8"/>
      <c r="F79" s="1"/>
      <c r="I79" s="73"/>
      <c r="J79" s="73"/>
      <c r="K79" s="73"/>
      <c r="L79" s="73"/>
      <c r="M79" s="73"/>
      <c r="N79" s="73"/>
      <c r="O79" s="73"/>
      <c r="P79" s="73"/>
      <c r="Q79" s="73"/>
    </row>
    <row r="80" spans="4:17" x14ac:dyDescent="0.2">
      <c r="I80" s="73"/>
      <c r="J80" s="73"/>
      <c r="K80" s="73"/>
      <c r="L80" s="73"/>
      <c r="M80" s="73"/>
      <c r="N80" s="73"/>
      <c r="O80" s="73"/>
      <c r="P80" s="73"/>
      <c r="Q80" s="73"/>
    </row>
    <row r="81" spans="1:17" x14ac:dyDescent="0.2">
      <c r="I81" s="73"/>
      <c r="J81" s="73"/>
      <c r="K81" s="73"/>
      <c r="L81" s="73"/>
      <c r="M81" s="73"/>
      <c r="N81" s="73"/>
      <c r="O81" s="73"/>
      <c r="P81" s="73"/>
      <c r="Q81" s="73"/>
    </row>
    <row r="82" spans="1:17" x14ac:dyDescent="0.2">
      <c r="I82" s="73"/>
      <c r="J82" s="73"/>
      <c r="K82" s="73"/>
      <c r="L82" s="73"/>
      <c r="M82" s="73"/>
      <c r="N82" s="73"/>
      <c r="O82" s="73"/>
      <c r="P82" s="73"/>
      <c r="Q82" s="73"/>
    </row>
    <row r="83" spans="1:17" x14ac:dyDescent="0.2">
      <c r="I83" s="73"/>
      <c r="J83" s="73"/>
      <c r="K83" s="73"/>
      <c r="L83" s="73"/>
      <c r="M83" s="73"/>
      <c r="N83" s="73"/>
      <c r="O83" s="73"/>
      <c r="P83" s="73"/>
      <c r="Q83" s="73"/>
    </row>
    <row r="84" spans="1:17" x14ac:dyDescent="0.2">
      <c r="I84" s="73"/>
      <c r="J84" s="73"/>
      <c r="K84" s="73"/>
      <c r="L84" s="73"/>
      <c r="M84" s="73"/>
      <c r="N84" s="73"/>
      <c r="O84" s="73"/>
      <c r="P84" s="73"/>
      <c r="Q84" s="73"/>
    </row>
    <row r="85" spans="1:17" ht="13.5" thickBot="1" x14ac:dyDescent="0.25">
      <c r="A85" s="1" t="s">
        <v>99</v>
      </c>
      <c r="C85" s="2"/>
      <c r="D85" s="5" t="s">
        <v>0</v>
      </c>
      <c r="F85" s="25" t="s">
        <v>73</v>
      </c>
      <c r="G85" s="25" t="s">
        <v>74</v>
      </c>
      <c r="I85" s="73"/>
      <c r="J85" s="73"/>
      <c r="K85" s="73"/>
      <c r="L85" s="73"/>
      <c r="M85" s="73"/>
      <c r="N85" s="73"/>
      <c r="O85" s="73"/>
      <c r="P85" s="73"/>
      <c r="Q85" s="73"/>
    </row>
    <row r="86" spans="1:17" ht="15" thickBot="1" x14ac:dyDescent="0.25">
      <c r="C86" s="2" t="s">
        <v>150</v>
      </c>
      <c r="D86" s="81">
        <v>30</v>
      </c>
      <c r="E86" t="s">
        <v>11</v>
      </c>
      <c r="F86" s="21"/>
      <c r="G86" s="21" t="s">
        <v>85</v>
      </c>
      <c r="I86" s="73"/>
      <c r="J86" s="73"/>
      <c r="K86" s="73"/>
      <c r="L86" s="73"/>
      <c r="M86" s="73"/>
      <c r="N86" s="73"/>
      <c r="O86" s="73"/>
      <c r="P86" s="73"/>
      <c r="Q86" s="73"/>
    </row>
    <row r="87" spans="1:17" ht="13.5" thickBot="1" x14ac:dyDescent="0.25">
      <c r="C87" s="2" t="s">
        <v>53</v>
      </c>
      <c r="D87" s="70">
        <v>58</v>
      </c>
      <c r="E87" t="s">
        <v>11</v>
      </c>
      <c r="F87" s="29" t="s">
        <v>75</v>
      </c>
      <c r="G87" s="29"/>
      <c r="I87" s="73"/>
      <c r="J87" s="73"/>
      <c r="K87" s="73"/>
      <c r="L87" s="73"/>
      <c r="M87" s="73"/>
      <c r="N87" s="73"/>
      <c r="O87" s="73"/>
      <c r="P87" s="73"/>
      <c r="Q87" s="73"/>
    </row>
    <row r="88" spans="1:17" x14ac:dyDescent="0.2">
      <c r="C88" s="2" t="s">
        <v>59</v>
      </c>
      <c r="D88" s="70">
        <v>36</v>
      </c>
      <c r="E88" t="s">
        <v>11</v>
      </c>
      <c r="F88" s="39" t="s">
        <v>76</v>
      </c>
      <c r="G88" s="47">
        <v>17.5</v>
      </c>
      <c r="I88" s="73"/>
      <c r="J88" s="73"/>
      <c r="K88" s="73"/>
      <c r="L88" s="73"/>
      <c r="M88" s="73"/>
      <c r="N88" s="73"/>
      <c r="O88" s="73"/>
      <c r="P88" s="73"/>
      <c r="Q88" s="73"/>
    </row>
    <row r="89" spans="1:17" x14ac:dyDescent="0.2">
      <c r="C89" s="2" t="s">
        <v>43</v>
      </c>
      <c r="D89" s="70">
        <v>6</v>
      </c>
      <c r="F89" s="39" t="s">
        <v>77</v>
      </c>
      <c r="G89" s="47">
        <v>22</v>
      </c>
      <c r="I89" s="73"/>
      <c r="J89" s="73"/>
      <c r="K89" s="73"/>
      <c r="L89" s="73"/>
      <c r="M89" s="73"/>
      <c r="N89" s="73"/>
      <c r="O89" s="73"/>
      <c r="P89" s="73"/>
      <c r="Q89" s="73"/>
    </row>
    <row r="90" spans="1:17" x14ac:dyDescent="0.2">
      <c r="C90" s="2" t="s">
        <v>140</v>
      </c>
      <c r="D90" s="69">
        <v>0.5</v>
      </c>
      <c r="E90" t="s">
        <v>4</v>
      </c>
      <c r="F90" s="39"/>
      <c r="G90" s="47"/>
      <c r="I90" s="73"/>
      <c r="J90" s="73"/>
      <c r="K90" s="73"/>
      <c r="L90" s="73"/>
      <c r="M90" s="73"/>
      <c r="N90" s="73"/>
      <c r="O90" s="73"/>
      <c r="P90" s="73"/>
      <c r="Q90" s="73"/>
    </row>
    <row r="91" spans="1:17" ht="13.5" thickBot="1" x14ac:dyDescent="0.25">
      <c r="C91" s="2" t="s">
        <v>126</v>
      </c>
      <c r="D91" s="69">
        <v>0.625</v>
      </c>
      <c r="E91" t="s">
        <v>4</v>
      </c>
      <c r="F91" s="21" t="s">
        <v>78</v>
      </c>
      <c r="G91" s="48"/>
      <c r="I91" s="73"/>
      <c r="J91" s="73"/>
      <c r="K91" s="73"/>
      <c r="L91" s="73"/>
      <c r="M91" s="73"/>
      <c r="N91" s="73"/>
      <c r="O91" s="73"/>
      <c r="P91" s="73"/>
      <c r="Q91" s="73"/>
    </row>
    <row r="92" spans="1:17" x14ac:dyDescent="0.2">
      <c r="C92" s="2" t="s">
        <v>127</v>
      </c>
      <c r="D92" s="69">
        <v>0.375</v>
      </c>
      <c r="E92" t="s">
        <v>4</v>
      </c>
      <c r="F92" s="39" t="s">
        <v>79</v>
      </c>
      <c r="G92" s="47">
        <v>10</v>
      </c>
      <c r="I92" s="73"/>
      <c r="J92" s="73"/>
      <c r="K92" s="73"/>
      <c r="L92" s="73"/>
      <c r="M92" s="73"/>
      <c r="N92" s="73"/>
      <c r="O92" s="73"/>
      <c r="P92" s="73"/>
      <c r="Q92" s="73"/>
    </row>
    <row r="93" spans="1:17" ht="14.25" x14ac:dyDescent="0.2">
      <c r="C93" s="2" t="s">
        <v>128</v>
      </c>
      <c r="D93" s="69">
        <v>5</v>
      </c>
      <c r="E93" t="s">
        <v>4</v>
      </c>
      <c r="F93" s="39" t="s">
        <v>80</v>
      </c>
      <c r="G93" s="47">
        <v>21</v>
      </c>
      <c r="I93" s="73"/>
      <c r="J93" s="73"/>
      <c r="K93" s="73"/>
      <c r="L93" s="73"/>
      <c r="M93" s="73"/>
      <c r="N93" s="73"/>
      <c r="O93" s="73"/>
      <c r="P93" s="73"/>
      <c r="Q93" s="73"/>
    </row>
    <row r="94" spans="1:17" ht="14.25" x14ac:dyDescent="0.2">
      <c r="C94" s="2" t="s">
        <v>129</v>
      </c>
      <c r="D94" s="69">
        <v>3</v>
      </c>
      <c r="E94" t="s">
        <v>4</v>
      </c>
      <c r="F94" s="39" t="s">
        <v>81</v>
      </c>
      <c r="G94" s="47">
        <v>30</v>
      </c>
      <c r="I94" s="73"/>
      <c r="J94" s="73"/>
      <c r="K94" s="73"/>
      <c r="L94" s="73"/>
      <c r="M94" s="73"/>
      <c r="N94" s="73"/>
      <c r="O94" s="73"/>
      <c r="P94" s="73"/>
      <c r="Q94" s="73"/>
    </row>
    <row r="95" spans="1:17" ht="14.25" x14ac:dyDescent="0.2">
      <c r="C95" s="2" t="s">
        <v>242</v>
      </c>
      <c r="D95" s="69">
        <v>2</v>
      </c>
      <c r="E95" t="s">
        <v>4</v>
      </c>
      <c r="F95" s="39" t="s">
        <v>82</v>
      </c>
      <c r="G95" s="47">
        <v>28</v>
      </c>
      <c r="I95" s="73"/>
      <c r="J95" s="73"/>
      <c r="K95" s="73"/>
      <c r="L95" s="73"/>
      <c r="M95" s="73"/>
      <c r="N95" s="73"/>
      <c r="O95" s="73"/>
      <c r="P95" s="73"/>
      <c r="Q95" s="73"/>
    </row>
    <row r="96" spans="1:17" ht="14.25" x14ac:dyDescent="0.2">
      <c r="C96" s="2" t="s">
        <v>243</v>
      </c>
      <c r="D96" s="69">
        <v>3</v>
      </c>
      <c r="E96" t="s">
        <v>4</v>
      </c>
      <c r="F96" s="39" t="s">
        <v>90</v>
      </c>
      <c r="G96" s="47">
        <v>40</v>
      </c>
      <c r="I96" s="73"/>
      <c r="J96" s="73"/>
      <c r="K96" s="73"/>
      <c r="L96" s="73"/>
      <c r="M96" s="73"/>
      <c r="N96" s="73"/>
      <c r="O96" s="73"/>
      <c r="P96" s="73"/>
      <c r="Q96" s="73"/>
    </row>
    <row r="97" spans="3:17" x14ac:dyDescent="0.2">
      <c r="C97" s="2" t="s">
        <v>244</v>
      </c>
      <c r="D97" s="69">
        <v>2</v>
      </c>
      <c r="E97" t="s">
        <v>4</v>
      </c>
      <c r="F97" s="39" t="s">
        <v>83</v>
      </c>
      <c r="G97" s="47">
        <v>17.5</v>
      </c>
      <c r="I97" s="73"/>
      <c r="J97" s="73"/>
      <c r="K97" s="73"/>
      <c r="L97" s="73"/>
      <c r="M97" s="73"/>
      <c r="N97" s="73"/>
      <c r="O97" s="73"/>
      <c r="P97" s="73"/>
      <c r="Q97" s="73"/>
    </row>
    <row r="98" spans="3:17" ht="13.5" thickBot="1" x14ac:dyDescent="0.25">
      <c r="C98" s="2" t="s">
        <v>245</v>
      </c>
      <c r="D98" s="82">
        <v>3</v>
      </c>
      <c r="E98" t="s">
        <v>4</v>
      </c>
      <c r="F98" s="42" t="s">
        <v>84</v>
      </c>
      <c r="G98" s="48">
        <v>22</v>
      </c>
      <c r="I98" s="73"/>
      <c r="J98" s="73"/>
      <c r="K98" s="73"/>
      <c r="L98" s="73"/>
      <c r="M98" s="73"/>
      <c r="N98" s="73"/>
      <c r="O98" s="73"/>
      <c r="P98" s="73"/>
      <c r="Q98" s="73"/>
    </row>
    <row r="99" spans="3:17" x14ac:dyDescent="0.2">
      <c r="I99" s="73"/>
      <c r="J99" s="73"/>
      <c r="K99" s="73"/>
      <c r="L99" s="73"/>
      <c r="M99" s="73"/>
      <c r="N99" s="73"/>
      <c r="O99" s="73"/>
      <c r="P99" s="73"/>
      <c r="Q99" s="73"/>
    </row>
    <row r="100" spans="3:17" x14ac:dyDescent="0.2">
      <c r="I100" s="73"/>
      <c r="J100" s="73"/>
      <c r="K100" s="73"/>
      <c r="L100" s="73"/>
      <c r="M100" s="73"/>
      <c r="N100" s="73"/>
      <c r="O100" s="73"/>
      <c r="P100" s="73"/>
      <c r="Q100" s="73"/>
    </row>
    <row r="101" spans="3:17" x14ac:dyDescent="0.2">
      <c r="I101" s="73"/>
      <c r="J101" s="73"/>
      <c r="K101" s="73"/>
      <c r="L101" s="73"/>
      <c r="M101" s="73"/>
      <c r="N101" s="73"/>
      <c r="O101" s="73"/>
      <c r="P101" s="73"/>
      <c r="Q101" s="73"/>
    </row>
    <row r="102" spans="3:17" x14ac:dyDescent="0.2">
      <c r="I102" s="73"/>
      <c r="J102" s="73"/>
      <c r="K102" s="73"/>
      <c r="L102" s="73"/>
      <c r="M102" s="73"/>
      <c r="N102" s="73"/>
      <c r="O102" s="73"/>
      <c r="P102" s="73"/>
      <c r="Q102" s="73"/>
    </row>
    <row r="103" spans="3:17" x14ac:dyDescent="0.2">
      <c r="I103" s="73"/>
      <c r="J103" s="73"/>
      <c r="K103" s="73"/>
      <c r="L103" s="73"/>
      <c r="M103" s="73"/>
      <c r="N103" s="73"/>
      <c r="O103" s="73"/>
      <c r="P103" s="73"/>
      <c r="Q103" s="73"/>
    </row>
    <row r="104" spans="3:17" x14ac:dyDescent="0.2">
      <c r="I104" s="73"/>
      <c r="J104" s="73"/>
      <c r="K104" s="73"/>
      <c r="L104" s="73"/>
      <c r="M104" s="73"/>
      <c r="N104" s="73"/>
      <c r="O104" s="73"/>
      <c r="P104" s="73"/>
      <c r="Q104" s="73"/>
    </row>
    <row r="105" spans="3:17" x14ac:dyDescent="0.2">
      <c r="C105" s="2"/>
      <c r="D105" s="5" t="s">
        <v>5</v>
      </c>
      <c r="I105" s="73"/>
      <c r="J105" s="73"/>
      <c r="K105" s="73"/>
      <c r="L105" s="73"/>
      <c r="M105" s="73"/>
      <c r="N105" s="73"/>
      <c r="O105" s="73"/>
      <c r="P105" s="73"/>
      <c r="Q105" s="73"/>
    </row>
    <row r="106" spans="3:17" x14ac:dyDescent="0.2">
      <c r="C106" s="2"/>
      <c r="D106" s="5" t="s">
        <v>98</v>
      </c>
      <c r="I106" s="73"/>
      <c r="J106" s="73"/>
      <c r="K106" s="73"/>
      <c r="L106" s="73"/>
      <c r="M106" s="73"/>
      <c r="N106" s="73"/>
      <c r="O106" s="73"/>
      <c r="P106" s="73"/>
      <c r="Q106" s="73"/>
    </row>
    <row r="107" spans="3:17" x14ac:dyDescent="0.2">
      <c r="C107" s="9" t="s">
        <v>94</v>
      </c>
      <c r="D107" s="1" t="s">
        <v>61</v>
      </c>
      <c r="E107" s="1"/>
      <c r="I107" s="73"/>
      <c r="J107" s="73"/>
      <c r="K107" s="73"/>
      <c r="L107" s="73"/>
      <c r="M107" s="73"/>
      <c r="N107" s="73"/>
      <c r="O107" s="73"/>
      <c r="P107" s="73"/>
      <c r="Q107" s="73"/>
    </row>
    <row r="108" spans="3:17" x14ac:dyDescent="0.2">
      <c r="C108" s="9"/>
      <c r="D108" s="4">
        <f>0.5*D87</f>
        <v>29</v>
      </c>
      <c r="E108" s="1" t="s">
        <v>11</v>
      </c>
      <c r="I108" s="73"/>
      <c r="J108" s="73"/>
      <c r="K108" s="73"/>
      <c r="L108" s="73"/>
      <c r="M108" s="73"/>
      <c r="N108" s="73"/>
      <c r="O108" s="73"/>
      <c r="P108" s="73"/>
      <c r="Q108" s="73"/>
    </row>
    <row r="109" spans="3:17" x14ac:dyDescent="0.2">
      <c r="C109" s="9" t="s">
        <v>95</v>
      </c>
      <c r="D109" s="1" t="s">
        <v>58</v>
      </c>
      <c r="E109" s="1"/>
      <c r="I109" s="73"/>
      <c r="J109" s="73"/>
      <c r="K109" s="73"/>
      <c r="L109" s="73"/>
      <c r="M109" s="73"/>
      <c r="N109" s="73"/>
      <c r="O109" s="73"/>
      <c r="P109" s="73"/>
      <c r="Q109" s="73"/>
    </row>
    <row r="110" spans="3:17" x14ac:dyDescent="0.2">
      <c r="C110" s="9"/>
      <c r="D110" s="4">
        <f>0.6*D88</f>
        <v>21.599999999999998</v>
      </c>
      <c r="E110" s="1" t="s">
        <v>11</v>
      </c>
      <c r="I110" s="73"/>
      <c r="J110" s="73"/>
      <c r="K110" s="73"/>
      <c r="L110" s="73"/>
      <c r="M110" s="73"/>
      <c r="N110" s="73"/>
      <c r="O110" s="73"/>
      <c r="P110" s="73"/>
      <c r="Q110" s="73"/>
    </row>
    <row r="111" spans="3:17" x14ac:dyDescent="0.2">
      <c r="C111" s="9" t="s">
        <v>54</v>
      </c>
      <c r="D111" s="1" t="s">
        <v>148</v>
      </c>
      <c r="E111" s="1"/>
      <c r="I111" s="73"/>
      <c r="J111" s="73"/>
      <c r="K111" s="73"/>
      <c r="L111" s="73"/>
      <c r="M111" s="73"/>
      <c r="N111" s="73"/>
      <c r="O111" s="73"/>
      <c r="P111" s="73"/>
      <c r="Q111" s="73"/>
    </row>
    <row r="112" spans="3:17" x14ac:dyDescent="0.2">
      <c r="C112" s="1"/>
      <c r="D112" s="8">
        <f>D87 * D95 / (2 * D90)</f>
        <v>116</v>
      </c>
      <c r="E112" s="1" t="s">
        <v>11</v>
      </c>
      <c r="I112" s="73"/>
      <c r="J112" s="73"/>
      <c r="K112" s="73"/>
      <c r="L112" s="73"/>
      <c r="M112" s="73"/>
      <c r="N112" s="73"/>
      <c r="O112" s="73"/>
      <c r="P112" s="73"/>
      <c r="Q112" s="73"/>
    </row>
    <row r="113" spans="3:17" x14ac:dyDescent="0.2">
      <c r="C113" s="9" t="s">
        <v>55</v>
      </c>
      <c r="D113" s="1" t="s">
        <v>144</v>
      </c>
      <c r="E113" s="1"/>
      <c r="I113" s="73"/>
      <c r="J113" s="73"/>
      <c r="K113" s="73"/>
      <c r="L113" s="73"/>
      <c r="M113" s="73"/>
      <c r="N113" s="73"/>
      <c r="O113" s="73"/>
      <c r="P113" s="73"/>
      <c r="Q113" s="73"/>
    </row>
    <row r="114" spans="3:17" x14ac:dyDescent="0.2">
      <c r="C114" s="1"/>
      <c r="D114" s="8">
        <f>(D87/2)*((D98/D90)-0.5)</f>
        <v>159.5</v>
      </c>
      <c r="E114" s="1" t="s">
        <v>11</v>
      </c>
      <c r="I114" s="73"/>
      <c r="J114" s="73"/>
      <c r="K114" s="73"/>
      <c r="L114" s="73"/>
      <c r="M114" s="73"/>
      <c r="N114" s="73"/>
      <c r="O114" s="73"/>
      <c r="P114" s="73"/>
      <c r="Q114" s="73"/>
    </row>
    <row r="115" spans="3:17" x14ac:dyDescent="0.2">
      <c r="C115" s="9" t="s">
        <v>56</v>
      </c>
      <c r="D115" s="1" t="s">
        <v>57</v>
      </c>
      <c r="E115" s="1"/>
      <c r="I115" s="73"/>
      <c r="J115" s="73"/>
      <c r="K115" s="73"/>
      <c r="L115" s="73"/>
      <c r="M115" s="73"/>
      <c r="N115" s="73"/>
      <c r="O115" s="73"/>
      <c r="P115" s="73"/>
      <c r="Q115" s="73"/>
    </row>
    <row r="116" spans="3:17" x14ac:dyDescent="0.2">
      <c r="C116" s="1"/>
      <c r="D116" s="8">
        <f>1.5*D87</f>
        <v>87</v>
      </c>
      <c r="E116" s="1" t="s">
        <v>11</v>
      </c>
      <c r="I116" s="73"/>
      <c r="J116" s="73"/>
      <c r="K116" s="73"/>
      <c r="L116" s="73"/>
      <c r="M116" s="73"/>
      <c r="N116" s="73"/>
      <c r="O116" s="73"/>
      <c r="P116" s="73"/>
      <c r="Q116" s="73"/>
    </row>
    <row r="117" spans="3:17" x14ac:dyDescent="0.2">
      <c r="C117" s="2"/>
      <c r="D117" s="5" t="s">
        <v>66</v>
      </c>
      <c r="I117" s="73"/>
      <c r="J117" s="73"/>
      <c r="K117" s="73"/>
      <c r="L117" s="73"/>
      <c r="M117" s="73"/>
      <c r="N117" s="73"/>
      <c r="O117" s="73"/>
      <c r="P117" s="73"/>
      <c r="Q117" s="73"/>
    </row>
    <row r="118" spans="3:17" x14ac:dyDescent="0.2">
      <c r="C118" s="9" t="s">
        <v>133</v>
      </c>
      <c r="D118" s="4" t="s">
        <v>52</v>
      </c>
      <c r="E118" s="1"/>
      <c r="I118" s="73"/>
      <c r="J118" s="73"/>
      <c r="K118" s="73"/>
      <c r="L118" s="73"/>
      <c r="M118" s="73"/>
      <c r="N118" s="73"/>
      <c r="O118" s="73"/>
      <c r="P118" s="73"/>
      <c r="Q118" s="73"/>
    </row>
    <row r="119" spans="3:17" x14ac:dyDescent="0.2">
      <c r="C119" s="7" t="s">
        <v>6</v>
      </c>
      <c r="D119" s="46">
        <f>2*D89*D86 * 3.1416 * D90^2 / 4</f>
        <v>70.685999999999993</v>
      </c>
      <c r="E119" s="1" t="s">
        <v>3</v>
      </c>
      <c r="I119" s="73"/>
      <c r="J119" s="73"/>
      <c r="K119" s="73"/>
      <c r="L119" s="73"/>
      <c r="M119" s="73"/>
      <c r="N119" s="73"/>
      <c r="O119" s="73"/>
      <c r="P119" s="73"/>
      <c r="Q119" s="73"/>
    </row>
    <row r="120" spans="3:17" x14ac:dyDescent="0.2">
      <c r="C120" s="2"/>
      <c r="D120" s="5" t="s">
        <v>132</v>
      </c>
      <c r="I120" s="73"/>
      <c r="J120" s="73"/>
      <c r="K120" s="73"/>
      <c r="L120" s="73"/>
      <c r="M120" s="73"/>
      <c r="N120" s="73"/>
      <c r="O120" s="73"/>
      <c r="P120" s="73"/>
      <c r="Q120" s="73"/>
    </row>
    <row r="121" spans="3:17" x14ac:dyDescent="0.2">
      <c r="C121" s="9" t="s">
        <v>136</v>
      </c>
      <c r="D121" s="4" t="s">
        <v>131</v>
      </c>
      <c r="I121" s="73"/>
      <c r="J121" s="73"/>
      <c r="K121" s="73"/>
      <c r="L121" s="73"/>
      <c r="M121" s="73"/>
      <c r="N121" s="73"/>
      <c r="O121" s="73"/>
      <c r="P121" s="73"/>
      <c r="Q121" s="73"/>
    </row>
    <row r="122" spans="3:17" x14ac:dyDescent="0.2">
      <c r="C122" s="7" t="s">
        <v>6</v>
      </c>
      <c r="D122" s="46">
        <f>2*D110 * (D93+D94-D92) * D92</f>
        <v>123.52499999999999</v>
      </c>
      <c r="E122" s="1" t="s">
        <v>3</v>
      </c>
      <c r="F122" s="1" t="s">
        <v>130</v>
      </c>
      <c r="I122" s="73"/>
      <c r="J122" s="73"/>
      <c r="K122" s="73"/>
      <c r="L122" s="73"/>
      <c r="M122" s="73"/>
      <c r="N122" s="73"/>
      <c r="O122" s="73"/>
      <c r="P122" s="73"/>
      <c r="Q122" s="73"/>
    </row>
    <row r="123" spans="3:17" x14ac:dyDescent="0.2">
      <c r="C123" s="9" t="s">
        <v>21</v>
      </c>
      <c r="D123" s="4" t="s">
        <v>149</v>
      </c>
      <c r="E123" s="1"/>
      <c r="I123" s="73"/>
      <c r="J123" s="73"/>
      <c r="K123" s="73"/>
      <c r="L123" s="73"/>
      <c r="M123" s="73"/>
      <c r="N123" s="73"/>
      <c r="O123" s="73"/>
      <c r="P123" s="73"/>
      <c r="Q123" s="73"/>
    </row>
    <row r="124" spans="3:17" x14ac:dyDescent="0.2">
      <c r="C124" s="2"/>
      <c r="D124" s="23">
        <f>D90+0.125</f>
        <v>0.625</v>
      </c>
      <c r="E124" s="1" t="s">
        <v>4</v>
      </c>
      <c r="I124" s="73"/>
      <c r="J124" s="73"/>
      <c r="K124" s="73"/>
      <c r="L124" s="73"/>
      <c r="M124" s="73"/>
      <c r="N124" s="73"/>
      <c r="O124" s="73"/>
      <c r="P124" s="73"/>
      <c r="Q124" s="73"/>
    </row>
    <row r="125" spans="3:17" x14ac:dyDescent="0.2">
      <c r="C125" s="9" t="s">
        <v>135</v>
      </c>
      <c r="D125" s="4" t="s">
        <v>137</v>
      </c>
      <c r="H125" s="25"/>
      <c r="I125" s="83"/>
      <c r="J125" s="73"/>
      <c r="K125" s="73"/>
      <c r="L125" s="73"/>
      <c r="M125" s="73"/>
      <c r="N125" s="73"/>
      <c r="O125" s="73"/>
      <c r="P125" s="73"/>
      <c r="Q125" s="73"/>
    </row>
    <row r="126" spans="3:17" x14ac:dyDescent="0.2">
      <c r="D126" s="8">
        <f>2*(((D93+D94-D92)*D92)-(2*((D90+0.125)*D92)))</f>
        <v>4.78125</v>
      </c>
      <c r="E126" s="1" t="s">
        <v>112</v>
      </c>
      <c r="H126" s="25"/>
      <c r="I126" s="83"/>
      <c r="J126" s="73"/>
      <c r="K126" s="73"/>
      <c r="L126" s="73"/>
      <c r="M126" s="73"/>
      <c r="N126" s="73"/>
      <c r="O126" s="73"/>
      <c r="P126" s="73"/>
      <c r="Q126" s="73"/>
    </row>
    <row r="127" spans="3:17" ht="13.5" thickBot="1" x14ac:dyDescent="0.25">
      <c r="C127" s="9" t="s">
        <v>134</v>
      </c>
      <c r="D127" s="4" t="s">
        <v>138</v>
      </c>
      <c r="F127" s="1" t="s">
        <v>139</v>
      </c>
      <c r="I127" s="94"/>
      <c r="J127" s="73"/>
      <c r="K127" s="73"/>
      <c r="L127" s="73"/>
      <c r="M127" s="73"/>
      <c r="N127" s="73"/>
      <c r="O127" s="73"/>
      <c r="P127" s="73"/>
      <c r="Q127" s="73"/>
    </row>
    <row r="128" spans="3:17" ht="13.5" thickBot="1" x14ac:dyDescent="0.25">
      <c r="C128" s="6" t="s">
        <v>6</v>
      </c>
      <c r="D128" s="93">
        <f>0.85*D108*D126</f>
        <v>117.85781249999999</v>
      </c>
      <c r="E128" s="1" t="s">
        <v>3</v>
      </c>
      <c r="I128" s="94"/>
      <c r="J128" s="73"/>
      <c r="K128" s="73"/>
      <c r="L128" s="73"/>
      <c r="M128" s="73"/>
      <c r="N128" s="73"/>
      <c r="O128" s="73"/>
      <c r="P128" s="73"/>
      <c r="Q128" s="73"/>
    </row>
    <row r="129" spans="1:17" x14ac:dyDescent="0.2">
      <c r="C129" s="9" t="s">
        <v>62</v>
      </c>
      <c r="D129" s="4" t="s">
        <v>141</v>
      </c>
      <c r="E129" s="1"/>
      <c r="I129" s="94"/>
      <c r="J129" s="73"/>
      <c r="K129" s="73"/>
      <c r="L129" s="73"/>
      <c r="M129" s="73"/>
      <c r="N129" s="73"/>
      <c r="O129" s="73"/>
      <c r="P129" s="73"/>
      <c r="Q129" s="73"/>
    </row>
    <row r="130" spans="1:17" x14ac:dyDescent="0.2">
      <c r="C130" s="7" t="s">
        <v>6</v>
      </c>
      <c r="D130" s="46">
        <f>D89 * D112 * D91 * D90</f>
        <v>217.5</v>
      </c>
      <c r="E130" s="1" t="s">
        <v>3</v>
      </c>
      <c r="F130" s="1" t="s">
        <v>145</v>
      </c>
      <c r="I130" s="94"/>
      <c r="J130" s="73"/>
      <c r="K130" s="73"/>
      <c r="L130" s="73"/>
      <c r="M130" s="73"/>
      <c r="N130" s="73"/>
      <c r="O130" s="73"/>
      <c r="P130" s="73"/>
      <c r="Q130" s="73"/>
    </row>
    <row r="131" spans="1:17" x14ac:dyDescent="0.2">
      <c r="C131" s="9" t="s">
        <v>63</v>
      </c>
      <c r="D131" s="4" t="s">
        <v>142</v>
      </c>
      <c r="E131" s="1"/>
      <c r="I131" s="94"/>
      <c r="J131" s="73"/>
      <c r="K131" s="73"/>
      <c r="L131" s="73"/>
      <c r="M131" s="73"/>
      <c r="N131" s="73"/>
      <c r="O131" s="73"/>
      <c r="P131" s="73"/>
      <c r="Q131" s="73"/>
    </row>
    <row r="132" spans="1:17" x14ac:dyDescent="0.2">
      <c r="C132" s="7" t="s">
        <v>6</v>
      </c>
      <c r="D132" s="46">
        <f>D89 * D114 * D91 * D90</f>
        <v>299.0625</v>
      </c>
      <c r="E132" s="1" t="s">
        <v>3</v>
      </c>
      <c r="F132" s="1" t="s">
        <v>146</v>
      </c>
      <c r="I132" s="94"/>
      <c r="J132" s="73"/>
      <c r="K132" s="73"/>
      <c r="L132" s="73"/>
      <c r="M132" s="73"/>
      <c r="N132" s="73"/>
      <c r="O132" s="73"/>
      <c r="P132" s="73"/>
      <c r="Q132" s="73"/>
    </row>
    <row r="133" spans="1:17" x14ac:dyDescent="0.2">
      <c r="A133" t="s">
        <v>29</v>
      </c>
      <c r="C133" s="9" t="s">
        <v>64</v>
      </c>
      <c r="D133" s="4" t="s">
        <v>143</v>
      </c>
      <c r="E133" s="1"/>
      <c r="I133" s="94"/>
      <c r="J133" s="73"/>
      <c r="K133" s="73"/>
      <c r="L133" s="73"/>
      <c r="M133" s="73"/>
      <c r="N133" s="73"/>
      <c r="O133" s="73"/>
      <c r="P133" s="73"/>
      <c r="Q133" s="73"/>
    </row>
    <row r="134" spans="1:17" x14ac:dyDescent="0.2">
      <c r="C134" s="7" t="s">
        <v>6</v>
      </c>
      <c r="D134" s="46">
        <f>D89 * D116 * D91 * D90</f>
        <v>163.125</v>
      </c>
      <c r="E134" s="1" t="s">
        <v>3</v>
      </c>
      <c r="F134" s="1" t="s">
        <v>147</v>
      </c>
      <c r="I134" s="73"/>
      <c r="J134" s="73"/>
      <c r="K134" s="73"/>
      <c r="L134" s="73"/>
      <c r="M134" s="73"/>
      <c r="N134" s="73"/>
      <c r="O134" s="73"/>
      <c r="P134" s="73"/>
      <c r="Q134" s="73"/>
    </row>
    <row r="135" spans="1:17" x14ac:dyDescent="0.2">
      <c r="I135" s="73"/>
      <c r="J135" s="73"/>
      <c r="K135" s="73"/>
      <c r="L135" s="73"/>
      <c r="M135" s="73"/>
      <c r="N135" s="73"/>
      <c r="O135" s="73"/>
      <c r="P135" s="73"/>
      <c r="Q135" s="73"/>
    </row>
    <row r="136" spans="1:17" ht="13.5" thickBot="1" x14ac:dyDescent="0.25">
      <c r="C136" s="2"/>
      <c r="D136" s="5" t="s">
        <v>0</v>
      </c>
      <c r="H136" s="25"/>
      <c r="I136" s="73"/>
      <c r="J136" s="73"/>
      <c r="K136" s="73"/>
      <c r="L136" s="73"/>
      <c r="M136" s="73"/>
      <c r="N136" s="73"/>
      <c r="O136" s="73"/>
      <c r="P136" s="73"/>
      <c r="Q136" s="73"/>
    </row>
    <row r="137" spans="1:17" x14ac:dyDescent="0.2">
      <c r="C137" s="10" t="s">
        <v>151</v>
      </c>
      <c r="D137" s="80">
        <v>70</v>
      </c>
      <c r="E137" s="11" t="s">
        <v>3</v>
      </c>
      <c r="H137" s="24"/>
      <c r="I137" s="73"/>
      <c r="J137" s="73"/>
      <c r="K137" s="73"/>
      <c r="L137" s="73"/>
      <c r="M137" s="73"/>
      <c r="N137" s="73"/>
      <c r="O137" s="73"/>
      <c r="P137" s="73"/>
      <c r="Q137" s="73"/>
    </row>
    <row r="138" spans="1:17" ht="13.5" thickBot="1" x14ac:dyDescent="0.25">
      <c r="C138" s="2" t="s">
        <v>25</v>
      </c>
      <c r="D138" s="72">
        <v>35</v>
      </c>
      <c r="E138" s="1" t="s">
        <v>3</v>
      </c>
      <c r="H138" s="24"/>
      <c r="I138" s="73"/>
      <c r="J138" s="73"/>
      <c r="K138" s="73"/>
      <c r="L138" s="73"/>
      <c r="M138" s="73"/>
      <c r="N138" s="73"/>
      <c r="O138" s="73"/>
      <c r="P138" s="73"/>
      <c r="Q138" s="73"/>
    </row>
    <row r="139" spans="1:17" x14ac:dyDescent="0.2">
      <c r="C139" s="2"/>
      <c r="D139" s="3"/>
      <c r="H139" s="24"/>
      <c r="I139" s="73"/>
      <c r="J139" s="73"/>
      <c r="K139" s="73"/>
      <c r="L139" s="73"/>
      <c r="M139" s="73"/>
      <c r="N139" s="73"/>
      <c r="O139" s="73"/>
      <c r="P139" s="73"/>
      <c r="Q139" s="73"/>
    </row>
    <row r="140" spans="1:17" x14ac:dyDescent="0.2">
      <c r="C140" s="2"/>
      <c r="D140" s="5" t="s">
        <v>5</v>
      </c>
      <c r="H140" s="24"/>
      <c r="I140" s="73"/>
      <c r="J140" s="73"/>
      <c r="K140" s="73"/>
      <c r="L140" s="73"/>
      <c r="M140" s="73"/>
      <c r="N140" s="73"/>
      <c r="O140" s="73"/>
      <c r="P140" s="73"/>
      <c r="Q140" s="73"/>
    </row>
    <row r="141" spans="1:17" x14ac:dyDescent="0.2">
      <c r="C141" s="9" t="s">
        <v>13</v>
      </c>
      <c r="D141" s="4" t="s">
        <v>32</v>
      </c>
      <c r="I141" s="73"/>
      <c r="J141" s="73"/>
      <c r="K141" s="73"/>
      <c r="L141" s="73"/>
      <c r="M141" s="73"/>
      <c r="N141" s="73"/>
      <c r="O141" s="73"/>
      <c r="P141" s="73"/>
      <c r="Q141" s="73"/>
    </row>
    <row r="142" spans="1:17" x14ac:dyDescent="0.2">
      <c r="C142" s="7" t="s">
        <v>6</v>
      </c>
      <c r="D142" s="12">
        <f>D137 / D122</f>
        <v>0.56668690548471978</v>
      </c>
      <c r="I142" s="73"/>
      <c r="J142" s="73"/>
      <c r="K142" s="73"/>
      <c r="L142" s="73"/>
      <c r="M142" s="73"/>
      <c r="N142" s="73"/>
      <c r="O142" s="73"/>
      <c r="P142" s="73"/>
      <c r="Q142" s="73"/>
    </row>
    <row r="143" spans="1:17" x14ac:dyDescent="0.2">
      <c r="C143" s="9" t="s">
        <v>26</v>
      </c>
      <c r="D143" s="4" t="s">
        <v>27</v>
      </c>
      <c r="I143" s="73"/>
      <c r="J143" s="73"/>
      <c r="K143" s="73"/>
      <c r="L143" s="73"/>
      <c r="M143" s="73"/>
      <c r="N143" s="73"/>
      <c r="O143" s="73"/>
      <c r="P143" s="73"/>
      <c r="Q143" s="73"/>
    </row>
    <row r="144" spans="1:17" x14ac:dyDescent="0.2">
      <c r="C144" s="7" t="s">
        <v>6</v>
      </c>
      <c r="D144" s="8">
        <f>D137/D138</f>
        <v>2</v>
      </c>
      <c r="I144" s="73"/>
      <c r="J144" s="73"/>
      <c r="K144" s="73"/>
      <c r="L144" s="73"/>
      <c r="M144" s="73"/>
      <c r="N144" s="73"/>
      <c r="O144" s="73"/>
      <c r="P144" s="73"/>
      <c r="Q144" s="73"/>
    </row>
    <row r="145" spans="3:17" x14ac:dyDescent="0.2">
      <c r="I145" s="73"/>
      <c r="J145" s="73"/>
      <c r="K145" s="73"/>
      <c r="L145" s="73"/>
      <c r="M145" s="73"/>
      <c r="N145" s="73"/>
      <c r="O145" s="73"/>
      <c r="P145" s="73"/>
      <c r="Q145" s="73"/>
    </row>
    <row r="146" spans="3:17" x14ac:dyDescent="0.2">
      <c r="I146" s="73"/>
      <c r="J146" s="73"/>
      <c r="K146" s="73"/>
      <c r="L146" s="73"/>
      <c r="M146" s="73"/>
      <c r="N146" s="73"/>
      <c r="O146" s="73"/>
      <c r="P146" s="73"/>
      <c r="Q146" s="73"/>
    </row>
    <row r="147" spans="3:17" x14ac:dyDescent="0.2">
      <c r="I147" s="73"/>
      <c r="J147" s="73"/>
      <c r="K147" s="73"/>
      <c r="L147" s="73"/>
      <c r="M147" s="73"/>
      <c r="N147" s="73"/>
      <c r="O147" s="73"/>
      <c r="P147" s="73"/>
      <c r="Q147" s="73"/>
    </row>
    <row r="148" spans="3:17" x14ac:dyDescent="0.2">
      <c r="I148" s="73"/>
      <c r="J148" s="73"/>
      <c r="K148" s="73"/>
      <c r="L148" s="73"/>
      <c r="M148" s="73"/>
      <c r="N148" s="73"/>
      <c r="O148" s="73"/>
      <c r="P148" s="73"/>
      <c r="Q148" s="73"/>
    </row>
    <row r="149" spans="3:17" x14ac:dyDescent="0.2">
      <c r="C149" s="9"/>
      <c r="D149" s="1"/>
      <c r="E149" s="1"/>
      <c r="I149" s="73"/>
      <c r="J149" s="73"/>
      <c r="K149" s="73"/>
      <c r="L149" s="73"/>
      <c r="M149" s="73"/>
      <c r="N149" s="73"/>
      <c r="O149" s="73"/>
      <c r="P149" s="73"/>
      <c r="Q149" s="73"/>
    </row>
    <row r="150" spans="3:17" x14ac:dyDescent="0.2">
      <c r="C150" s="7"/>
      <c r="D150" s="28"/>
      <c r="E150" s="1"/>
      <c r="I150" s="73"/>
      <c r="J150" s="73"/>
      <c r="K150" s="73"/>
      <c r="L150" s="73"/>
      <c r="M150" s="73"/>
      <c r="N150" s="73"/>
      <c r="O150" s="73"/>
      <c r="P150" s="73"/>
      <c r="Q150" s="73"/>
    </row>
    <row r="151" spans="3:17" x14ac:dyDescent="0.2">
      <c r="I151" s="73"/>
      <c r="J151" s="73"/>
      <c r="K151" s="73"/>
      <c r="L151" s="73"/>
      <c r="M151" s="73"/>
      <c r="N151" s="73"/>
      <c r="O151" s="73"/>
      <c r="P151" s="73"/>
      <c r="Q151" s="73"/>
    </row>
    <row r="152" spans="3:17" x14ac:dyDescent="0.2">
      <c r="I152" s="73"/>
      <c r="J152" s="73"/>
      <c r="K152" s="73"/>
      <c r="L152" s="73"/>
      <c r="M152" s="73"/>
      <c r="N152" s="73"/>
      <c r="O152" s="73"/>
      <c r="P152" s="73"/>
      <c r="Q152" s="73"/>
    </row>
    <row r="153" spans="3:17" x14ac:dyDescent="0.2">
      <c r="I153" s="73"/>
      <c r="J153" s="73"/>
      <c r="K153" s="73"/>
      <c r="L153" s="73"/>
      <c r="M153" s="73"/>
      <c r="N153" s="73"/>
      <c r="O153" s="73"/>
      <c r="P153" s="73"/>
      <c r="Q153" s="73"/>
    </row>
    <row r="154" spans="3:17" x14ac:dyDescent="0.2">
      <c r="I154" s="73"/>
      <c r="J154" s="73"/>
      <c r="K154" s="73"/>
      <c r="L154" s="73"/>
      <c r="M154" s="73"/>
      <c r="N154" s="73"/>
      <c r="O154" s="73"/>
      <c r="P154" s="73"/>
      <c r="Q154" s="73"/>
    </row>
    <row r="155" spans="3:17" x14ac:dyDescent="0.2">
      <c r="I155" s="73"/>
      <c r="J155" s="73"/>
      <c r="K155" s="73"/>
      <c r="L155" s="73"/>
      <c r="M155" s="73"/>
      <c r="N155" s="73"/>
      <c r="O155" s="73"/>
      <c r="P155" s="73"/>
      <c r="Q155" s="73"/>
    </row>
    <row r="156" spans="3:17" x14ac:dyDescent="0.2">
      <c r="I156" s="73"/>
      <c r="J156" s="73"/>
      <c r="K156" s="73"/>
      <c r="L156" s="73"/>
      <c r="M156" s="73"/>
      <c r="N156" s="73"/>
      <c r="O156" s="73"/>
      <c r="P156" s="73"/>
      <c r="Q156" s="73"/>
    </row>
    <row r="157" spans="3:17" x14ac:dyDescent="0.2">
      <c r="C157" s="9"/>
      <c r="D157" s="1"/>
      <c r="I157" s="73"/>
      <c r="J157" s="73"/>
      <c r="K157" s="73"/>
      <c r="L157" s="73"/>
      <c r="M157" s="73"/>
      <c r="N157" s="73"/>
      <c r="O157" s="73"/>
      <c r="P157" s="73"/>
      <c r="Q157" s="73"/>
    </row>
    <row r="158" spans="3:17" x14ac:dyDescent="0.2">
      <c r="C158" s="6"/>
      <c r="D158" s="4"/>
      <c r="E158" s="1"/>
      <c r="I158" s="73"/>
      <c r="J158" s="73"/>
      <c r="K158" s="73"/>
      <c r="L158" s="73"/>
      <c r="M158" s="73"/>
      <c r="N158" s="73"/>
      <c r="O158" s="73"/>
      <c r="P158" s="73"/>
      <c r="Q158" s="73"/>
    </row>
    <row r="159" spans="3:17" x14ac:dyDescent="0.2">
      <c r="C159" s="9"/>
      <c r="D159" s="1"/>
      <c r="E159" s="1"/>
      <c r="I159" s="73"/>
      <c r="J159" s="73"/>
      <c r="K159" s="73"/>
      <c r="L159" s="73"/>
      <c r="M159" s="73"/>
      <c r="N159" s="73"/>
      <c r="O159" s="73"/>
      <c r="P159" s="73"/>
      <c r="Q159" s="73"/>
    </row>
    <row r="160" spans="3:17" x14ac:dyDescent="0.2">
      <c r="C160" s="7"/>
      <c r="D160" s="28"/>
      <c r="E160" s="1"/>
      <c r="I160" s="73"/>
      <c r="J160" s="73"/>
      <c r="K160" s="73"/>
      <c r="L160" s="73"/>
      <c r="M160" s="73"/>
      <c r="N160" s="73"/>
      <c r="O160" s="73"/>
      <c r="P160" s="73"/>
      <c r="Q160" s="73"/>
    </row>
    <row r="161" spans="2:17" x14ac:dyDescent="0.2">
      <c r="C161" s="9"/>
      <c r="D161" s="1"/>
      <c r="E161" s="1"/>
      <c r="I161" s="73"/>
      <c r="J161" s="73"/>
      <c r="K161" s="73"/>
      <c r="L161" s="73"/>
      <c r="M161" s="73"/>
      <c r="N161" s="73"/>
      <c r="O161" s="73"/>
      <c r="P161" s="73"/>
      <c r="Q161" s="73"/>
    </row>
    <row r="162" spans="2:17" x14ac:dyDescent="0.2">
      <c r="C162" s="7"/>
      <c r="D162" s="28"/>
      <c r="E162" s="1"/>
      <c r="I162" s="73"/>
      <c r="J162" s="73"/>
      <c r="K162" s="73"/>
      <c r="L162" s="73"/>
      <c r="M162" s="73"/>
      <c r="N162" s="73"/>
      <c r="O162" s="73"/>
      <c r="P162" s="73"/>
      <c r="Q162" s="73"/>
    </row>
    <row r="163" spans="2:17" x14ac:dyDescent="0.2">
      <c r="C163" s="9"/>
      <c r="D163" s="1"/>
      <c r="I163" s="73"/>
      <c r="J163" s="73"/>
      <c r="K163" s="73"/>
      <c r="L163" s="73"/>
      <c r="M163" s="73"/>
      <c r="N163" s="73"/>
      <c r="O163" s="73"/>
      <c r="P163" s="73"/>
      <c r="Q163" s="73"/>
    </row>
    <row r="164" spans="2:17" x14ac:dyDescent="0.2">
      <c r="C164" s="7"/>
      <c r="D164" s="8"/>
      <c r="I164" s="73"/>
      <c r="J164" s="73"/>
      <c r="K164" s="73"/>
      <c r="L164" s="73"/>
      <c r="M164" s="73"/>
      <c r="N164" s="73"/>
      <c r="O164" s="73"/>
      <c r="P164" s="73"/>
      <c r="Q164" s="73"/>
    </row>
    <row r="165" spans="2:17" x14ac:dyDescent="0.2">
      <c r="I165" s="73"/>
      <c r="J165" s="73"/>
      <c r="K165" s="73"/>
      <c r="L165" s="73"/>
      <c r="M165" s="73"/>
      <c r="N165" s="73"/>
      <c r="O165" s="73"/>
      <c r="P165" s="73"/>
      <c r="Q165" s="73"/>
    </row>
    <row r="166" spans="2:17" x14ac:dyDescent="0.2">
      <c r="I166" s="73"/>
      <c r="J166" s="73"/>
      <c r="K166" s="73"/>
      <c r="L166" s="73"/>
      <c r="M166" s="73"/>
      <c r="N166" s="73"/>
      <c r="O166" s="73"/>
      <c r="P166" s="73"/>
      <c r="Q166" s="73"/>
    </row>
    <row r="169" spans="2:17" x14ac:dyDescent="0.2">
      <c r="B169" s="1"/>
    </row>
    <row r="208" spans="6:9" x14ac:dyDescent="0.2">
      <c r="F208" s="25"/>
      <c r="G208" s="25"/>
      <c r="H208" s="25"/>
      <c r="I208" s="25"/>
    </row>
    <row r="209" spans="3:9" x14ac:dyDescent="0.2">
      <c r="F209" s="25"/>
      <c r="G209" s="25"/>
      <c r="H209" s="25"/>
      <c r="I209" s="25"/>
    </row>
    <row r="210" spans="3:9" x14ac:dyDescent="0.2">
      <c r="F210" s="41"/>
      <c r="G210" s="39"/>
      <c r="I210" s="57"/>
    </row>
    <row r="211" spans="3:9" x14ac:dyDescent="0.2">
      <c r="F211" s="41"/>
      <c r="G211" s="39"/>
      <c r="I211" s="57"/>
    </row>
    <row r="212" spans="3:9" x14ac:dyDescent="0.2">
      <c r="F212" s="41"/>
      <c r="G212" s="39"/>
      <c r="I212" s="57"/>
    </row>
    <row r="213" spans="3:9" x14ac:dyDescent="0.2">
      <c r="F213" s="40"/>
      <c r="G213" s="39"/>
      <c r="I213" s="57"/>
    </row>
    <row r="214" spans="3:9" x14ac:dyDescent="0.2">
      <c r="F214" s="41"/>
      <c r="G214" s="39"/>
      <c r="I214" s="57"/>
    </row>
    <row r="215" spans="3:9" x14ac:dyDescent="0.2">
      <c r="F215" s="41"/>
      <c r="G215" s="39"/>
      <c r="I215" s="57"/>
    </row>
    <row r="216" spans="3:9" x14ac:dyDescent="0.2">
      <c r="F216" s="39"/>
      <c r="G216" s="39"/>
      <c r="I216" s="57"/>
    </row>
    <row r="219" spans="3:9" x14ac:dyDescent="0.2">
      <c r="C219" s="2"/>
      <c r="D219" s="5"/>
    </row>
    <row r="220" spans="3:9" x14ac:dyDescent="0.2">
      <c r="C220" s="2"/>
      <c r="D220" s="3"/>
      <c r="G220" s="4"/>
      <c r="H220" s="25"/>
    </row>
    <row r="221" spans="3:9" x14ac:dyDescent="0.2">
      <c r="C221" s="2"/>
      <c r="D221" s="3"/>
      <c r="G221" s="4"/>
      <c r="H221" s="24"/>
    </row>
    <row r="222" spans="3:9" x14ac:dyDescent="0.2">
      <c r="C222" s="2"/>
      <c r="D222" s="14"/>
      <c r="H222" s="24"/>
    </row>
    <row r="223" spans="3:9" x14ac:dyDescent="0.2">
      <c r="C223" s="2"/>
      <c r="D223" s="3"/>
      <c r="H223" s="24"/>
    </row>
    <row r="224" spans="3:9" x14ac:dyDescent="0.2">
      <c r="C224" s="2"/>
      <c r="D224" s="14"/>
      <c r="H224" s="24"/>
    </row>
    <row r="225" spans="3:8" x14ac:dyDescent="0.2">
      <c r="C225" s="2"/>
      <c r="D225" s="3"/>
      <c r="H225" s="24"/>
    </row>
    <row r="226" spans="3:8" x14ac:dyDescent="0.2">
      <c r="C226" s="2"/>
      <c r="D226" s="5"/>
      <c r="H226" s="24"/>
    </row>
    <row r="227" spans="3:8" x14ac:dyDescent="0.2">
      <c r="C227" s="9"/>
      <c r="D227" s="1"/>
      <c r="E227" s="1"/>
      <c r="H227" s="24"/>
    </row>
    <row r="228" spans="3:8" x14ac:dyDescent="0.2">
      <c r="C228" s="7"/>
      <c r="D228" s="8"/>
      <c r="E228" s="1"/>
    </row>
    <row r="229" spans="3:8" x14ac:dyDescent="0.2">
      <c r="C229" s="9"/>
      <c r="D229" s="4"/>
      <c r="E229" s="1"/>
    </row>
    <row r="230" spans="3:8" x14ac:dyDescent="0.2">
      <c r="C230" s="7"/>
      <c r="D230" s="28"/>
      <c r="E230" s="1"/>
    </row>
    <row r="231" spans="3:8" x14ac:dyDescent="0.2">
      <c r="C231" s="9"/>
      <c r="D231" s="1"/>
      <c r="E231" s="1"/>
    </row>
    <row r="232" spans="3:8" x14ac:dyDescent="0.2">
      <c r="C232" s="7"/>
      <c r="D232" s="28"/>
      <c r="E232" s="1"/>
    </row>
    <row r="233" spans="3:8" x14ac:dyDescent="0.2">
      <c r="C233" s="9"/>
      <c r="D233" s="1"/>
      <c r="E233" s="1"/>
    </row>
    <row r="234" spans="3:8" x14ac:dyDescent="0.2">
      <c r="C234" s="7"/>
      <c r="D234" s="28"/>
      <c r="E234" s="1"/>
    </row>
    <row r="235" spans="3:8" x14ac:dyDescent="0.2">
      <c r="C235" s="9"/>
      <c r="D235" s="1"/>
    </row>
    <row r="236" spans="3:8" x14ac:dyDescent="0.2">
      <c r="C236" s="7"/>
      <c r="D236" s="28"/>
      <c r="E236" s="1"/>
    </row>
    <row r="237" spans="3:8" x14ac:dyDescent="0.2">
      <c r="C237" s="9"/>
      <c r="D237" s="1"/>
    </row>
    <row r="238" spans="3:8" x14ac:dyDescent="0.2">
      <c r="C238" s="7"/>
      <c r="D238" s="8"/>
    </row>
  </sheetData>
  <sheetProtection sheet="1" objects="1" formatCells="0" selectLockedCells="1"/>
  <phoneticPr fontId="2" type="noConversion"/>
  <pageMargins left="0.75" right="0.75" top="1" bottom="1" header="0.5" footer="0.5"/>
  <pageSetup orientation="portrait" horizontalDpi="4294967295"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BOLT TENSION</vt:lpstr>
      <vt:lpstr>BOLT SHEAR</vt:lpstr>
      <vt:lpstr>F.E.A.</vt:lpstr>
      <vt:lpstr>MATH TOOLS</vt:lpstr>
    </vt:vector>
  </TitlesOfParts>
  <Company>THINC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Andrew</dc:creator>
  <cp:lastModifiedBy>John Andrew</cp:lastModifiedBy>
  <cp:lastPrinted>2012-02-12T05:36:57Z</cp:lastPrinted>
  <dcterms:created xsi:type="dcterms:W3CDTF">2008-02-04T15:33:43Z</dcterms:created>
  <dcterms:modified xsi:type="dcterms:W3CDTF">2023-02-22T16:27:30Z</dcterms:modified>
</cp:coreProperties>
</file>