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19320" windowHeight="13140"/>
  </bookViews>
  <sheets>
    <sheet name="Overview" sheetId="1" r:id="rId1"/>
    <sheet name="Cantilever" sheetId="4" r:id="rId2"/>
    <sheet name="Beam Pined" sheetId="2" r:id="rId3"/>
    <sheet name="Beam Fixed" sheetId="9" r:id="rId4"/>
    <sheet name="Continuous Beam" sheetId="10" r:id="rId5"/>
    <sheet name="Math Tools" sheetId="5" r:id="rId6"/>
  </sheets>
  <definedNames>
    <definedName name="solver_adj" localSheetId="2" hidden="1">'Beam Pined'!#REF!</definedName>
    <definedName name="solver_cvg" localSheetId="2" hidden="1">0.0001</definedName>
    <definedName name="solver_drv" localSheetId="2" hidden="1">1</definedName>
    <definedName name="solver_est" localSheetId="2" hidden="1">1</definedName>
    <definedName name="solver_itr" localSheetId="2" hidden="1">100</definedName>
    <definedName name="solver_lin" localSheetId="2" hidden="1">2</definedName>
    <definedName name="solver_neg" localSheetId="2" hidden="1">2</definedName>
    <definedName name="solver_num" localSheetId="2" hidden="1">0</definedName>
    <definedName name="solver_nwt" localSheetId="2" hidden="1">1</definedName>
    <definedName name="solver_opt" localSheetId="2" hidden="1">'Beam Pined'!$C$226</definedName>
    <definedName name="solver_pre" localSheetId="2" hidden="1">0.000001</definedName>
    <definedName name="solver_scl" localSheetId="2" hidden="1">2</definedName>
    <definedName name="solver_sho" localSheetId="2" hidden="1">2</definedName>
    <definedName name="solver_tim" localSheetId="2" hidden="1">100</definedName>
    <definedName name="solver_tol" localSheetId="2" hidden="1">0.05</definedName>
    <definedName name="solver_typ" localSheetId="2" hidden="1">3</definedName>
    <definedName name="solver_val" localSheetId="2" hidden="1">0.65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7" i="1"/>
  <c r="I44"/>
  <c r="C436" i="9"/>
  <c r="C433"/>
  <c r="C442" s="1"/>
  <c r="F423"/>
  <c r="B174" i="5"/>
  <c r="B168"/>
  <c r="B152"/>
  <c r="B145"/>
  <c r="D137"/>
  <c r="D119"/>
  <c r="D117"/>
  <c r="D112"/>
  <c r="D109"/>
  <c r="D127" s="1"/>
  <c r="D107"/>
  <c r="D125" s="1"/>
  <c r="D105"/>
  <c r="D123" s="1"/>
  <c r="D103"/>
  <c r="D115" s="1"/>
  <c r="D135" s="1"/>
  <c r="D101"/>
  <c r="D121" s="1"/>
  <c r="C28"/>
  <c r="C26"/>
  <c r="G59" i="10"/>
  <c r="C69"/>
  <c r="C71" s="1"/>
  <c r="C85" s="1"/>
  <c r="C121"/>
  <c r="C133" s="1"/>
  <c r="G121"/>
  <c r="E135"/>
  <c r="G177"/>
  <c r="F59" i="9"/>
  <c r="C69"/>
  <c r="C128" s="1"/>
  <c r="C130" s="1"/>
  <c r="C71"/>
  <c r="C73" s="1"/>
  <c r="C83" s="1"/>
  <c r="C192" s="1"/>
  <c r="E83"/>
  <c r="E94"/>
  <c r="C132"/>
  <c r="C136"/>
  <c r="C138"/>
  <c r="C144"/>
  <c r="C146"/>
  <c r="C189"/>
  <c r="C190"/>
  <c r="E192"/>
  <c r="E195"/>
  <c r="F232"/>
  <c r="C242"/>
  <c r="C248" s="1"/>
  <c r="C250" s="1"/>
  <c r="C244"/>
  <c r="C266" s="1"/>
  <c r="E256"/>
  <c r="E258"/>
  <c r="C264"/>
  <c r="E269"/>
  <c r="C271"/>
  <c r="E271"/>
  <c r="C304"/>
  <c r="C306"/>
  <c r="C314" s="1"/>
  <c r="C308"/>
  <c r="C310"/>
  <c r="C316"/>
  <c r="C322"/>
  <c r="C324"/>
  <c r="E371"/>
  <c r="E373"/>
  <c r="C378"/>
  <c r="C380" s="1"/>
  <c r="D380" s="1"/>
  <c r="C388"/>
  <c r="F59" i="2"/>
  <c r="C70"/>
  <c r="C149" s="1"/>
  <c r="C72"/>
  <c r="C74" s="1"/>
  <c r="E80"/>
  <c r="C132"/>
  <c r="C156"/>
  <c r="E156"/>
  <c r="C158"/>
  <c r="E158"/>
  <c r="C204"/>
  <c r="E214"/>
  <c r="E216"/>
  <c r="E223"/>
  <c r="C226"/>
  <c r="G234"/>
  <c r="C244"/>
  <c r="C246"/>
  <c r="C248" s="1"/>
  <c r="E254"/>
  <c r="C301"/>
  <c r="D306"/>
  <c r="C323" s="1"/>
  <c r="C314"/>
  <c r="C329"/>
  <c r="C331"/>
  <c r="D331"/>
  <c r="C374"/>
  <c r="F74" i="4"/>
  <c r="C84"/>
  <c r="C90" s="1"/>
  <c r="C108"/>
  <c r="C86"/>
  <c r="C88"/>
  <c r="C92"/>
  <c r="C181" s="1"/>
  <c r="C183" s="1"/>
  <c r="C185" s="1"/>
  <c r="D185" s="1"/>
  <c r="E102"/>
  <c r="E106"/>
  <c r="C147"/>
  <c r="C149"/>
  <c r="C151" s="1"/>
  <c r="C153"/>
  <c r="C157"/>
  <c r="C165"/>
  <c r="E181"/>
  <c r="F263"/>
  <c r="C273"/>
  <c r="C279" s="1"/>
  <c r="C275"/>
  <c r="C277"/>
  <c r="C281"/>
  <c r="E291"/>
  <c r="E295"/>
  <c r="F333"/>
  <c r="C341"/>
  <c r="C361" s="1"/>
  <c r="C343"/>
  <c r="C411"/>
  <c r="C435"/>
  <c r="C70" i="1"/>
  <c r="C72"/>
  <c r="C82"/>
  <c r="C84"/>
  <c r="C88" i="2"/>
  <c r="C94"/>
  <c r="C94" i="9"/>
  <c r="C195"/>
  <c r="C79"/>
  <c r="C134"/>
  <c r="C89"/>
  <c r="C347" i="4"/>
  <c r="C78" i="2"/>
  <c r="C100"/>
  <c r="E100"/>
  <c r="C86"/>
  <c r="C75" i="9"/>
  <c r="C81"/>
  <c r="C163" i="4"/>
  <c r="C155"/>
  <c r="D305" i="2"/>
  <c r="D303"/>
  <c r="C151"/>
  <c r="C140"/>
  <c r="C136"/>
  <c r="C359" i="4"/>
  <c r="C252" i="2" l="1"/>
  <c r="C250"/>
  <c r="C104" i="4"/>
  <c r="C102"/>
  <c r="C193" s="1"/>
  <c r="E193" s="1"/>
  <c r="C100"/>
  <c r="C195" s="1"/>
  <c r="C440" i="9"/>
  <c r="C446" s="1"/>
  <c r="C448" s="1"/>
  <c r="D448" s="1"/>
  <c r="C297" i="4"/>
  <c r="C386" i="9"/>
  <c r="E386" s="1"/>
  <c r="C131" i="10"/>
  <c r="C444" i="9"/>
  <c r="C167" i="4"/>
  <c r="C206" i="2"/>
  <c r="C208" s="1"/>
  <c r="C210" s="1"/>
  <c r="D210" s="1"/>
  <c r="C349" i="4"/>
  <c r="C351" s="1"/>
  <c r="C353" s="1"/>
  <c r="D353" s="1"/>
  <c r="C114"/>
  <c r="C197"/>
  <c r="C102" i="2"/>
  <c r="E102" s="1"/>
  <c r="C106" i="4"/>
  <c r="C345"/>
  <c r="C77" i="9"/>
  <c r="C173" i="4"/>
  <c r="E173" s="1"/>
  <c r="C224" i="2"/>
  <c r="E224" s="1"/>
  <c r="C326" i="9"/>
  <c r="C312"/>
  <c r="C269"/>
  <c r="C438"/>
  <c r="C81" i="10"/>
  <c r="C185" s="1"/>
  <c r="C73"/>
  <c r="C79"/>
  <c r="C183" s="1"/>
  <c r="C77"/>
  <c r="C75"/>
  <c r="C127"/>
  <c r="C123"/>
  <c r="C129"/>
  <c r="C125"/>
  <c r="C135"/>
  <c r="C76" i="2"/>
  <c r="C80"/>
  <c r="C254"/>
  <c r="C366" i="9"/>
  <c r="C254"/>
  <c r="C258"/>
  <c r="C256"/>
  <c r="C252"/>
  <c r="C295" i="4"/>
  <c r="C289"/>
  <c r="C293"/>
  <c r="C283"/>
  <c r="C291"/>
  <c r="C363"/>
  <c r="E359" s="1"/>
  <c r="D304" i="2"/>
  <c r="C138"/>
  <c r="C94" i="4"/>
  <c r="C134" i="2"/>
  <c r="C142" s="1"/>
  <c r="C178" i="10" l="1"/>
  <c r="E114" i="4"/>
  <c r="C202"/>
  <c r="E202" s="1"/>
  <c r="C180" i="10"/>
  <c r="C83"/>
  <c r="C176"/>
  <c r="C371" i="9"/>
  <c r="C373"/>
  <c r="C144" i="2"/>
  <c r="C368" i="9"/>
  <c r="C197" i="2"/>
  <c r="C320"/>
  <c r="C309"/>
  <c r="C311" s="1"/>
  <c r="C317"/>
  <c r="C214"/>
  <c r="C216" s="1"/>
  <c r="C218" s="1"/>
  <c r="D218" s="1"/>
  <c r="C201" l="1"/>
  <c r="C199"/>
  <c r="C203" s="1"/>
</calcChain>
</file>

<file path=xl/sharedStrings.xml><?xml version="1.0" encoding="utf-8"?>
<sst xmlns="http://schemas.openxmlformats.org/spreadsheetml/2006/main" count="1532" uniqueCount="580">
  <si>
    <t>Input</t>
  </si>
  <si>
    <t>Horizontal component force, H =</t>
  </si>
  <si>
    <t>Vertical component force, V =</t>
  </si>
  <si>
    <t>Calculation</t>
  </si>
  <si>
    <t>Resultant force, R =</t>
  </si>
  <si>
    <t>( H^2 + V^2 )^(1/2)</t>
  </si>
  <si>
    <t>=</t>
  </si>
  <si>
    <t>Angle, An =</t>
  </si>
  <si>
    <t>57.30 * ATAN(V / H)</t>
  </si>
  <si>
    <t>deg</t>
  </si>
  <si>
    <t>INPUT</t>
  </si>
  <si>
    <t>W18x60</t>
  </si>
  <si>
    <t>Beam section modulus,  Sx =</t>
  </si>
  <si>
    <t>in^3</t>
  </si>
  <si>
    <t>Allowable stress, Fa =</t>
  </si>
  <si>
    <t>lbs/in^2</t>
  </si>
  <si>
    <t>lbs</t>
  </si>
  <si>
    <t>ft</t>
  </si>
  <si>
    <t>Beam span in inches, Li =</t>
  </si>
  <si>
    <t>L * 12</t>
  </si>
  <si>
    <t>in</t>
  </si>
  <si>
    <t>in-lbs</t>
  </si>
  <si>
    <t xml:space="preserve"> </t>
  </si>
  <si>
    <t>CALCULATE continued</t>
  </si>
  <si>
    <t>Total moment stress,  Fm =</t>
  </si>
  <si>
    <t>Mt / Sx</t>
  </si>
  <si>
    <t>Fa / Fm</t>
  </si>
  <si>
    <t>in^4</t>
  </si>
  <si>
    <t>Modulus of elasticity,  E =</t>
  </si>
  <si>
    <t xml:space="preserve">in </t>
  </si>
  <si>
    <t>Max allowable deflection =</t>
  </si>
  <si>
    <t>Beam weight per foot, w =</t>
  </si>
  <si>
    <t>Load, P =</t>
  </si>
  <si>
    <t>Total beam weight, W =</t>
  </si>
  <si>
    <t>w * L</t>
  </si>
  <si>
    <t>W / 2</t>
  </si>
  <si>
    <t>Max beam moment, Mm =</t>
  </si>
  <si>
    <t>Beam span in feet, L =</t>
  </si>
  <si>
    <t>Beam Section =</t>
  </si>
  <si>
    <t>in (x &lt; or = b)</t>
  </si>
  <si>
    <t>Location in inches, x =</t>
  </si>
  <si>
    <t>R1</t>
  </si>
  <si>
    <t>feet</t>
  </si>
  <si>
    <t>inches =</t>
  </si>
  <si>
    <t>feet * 12</t>
  </si>
  <si>
    <t>Max moment (at load P), Mm =</t>
  </si>
  <si>
    <t>P + W - R1</t>
  </si>
  <si>
    <t xml:space="preserve">R1 </t>
  </si>
  <si>
    <t>R2</t>
  </si>
  <si>
    <r>
      <t>Left support force, R1</t>
    </r>
    <r>
      <rPr>
        <vertAlign val="subscript"/>
        <sz val="10"/>
        <rFont val="Arial"/>
        <family val="2"/>
      </rPr>
      <t>A</t>
    </r>
    <r>
      <rPr>
        <sz val="10"/>
        <rFont val="Arial"/>
      </rPr>
      <t xml:space="preserve"> =</t>
    </r>
  </si>
  <si>
    <r>
      <t>Beam shear force, V2</t>
    </r>
    <r>
      <rPr>
        <vertAlign val="subscript"/>
        <sz val="10"/>
        <rFont val="Arial"/>
        <family val="2"/>
      </rPr>
      <t>A</t>
    </r>
    <r>
      <rPr>
        <sz val="10"/>
        <rFont val="Arial"/>
      </rPr>
      <t xml:space="preserve"> =</t>
    </r>
  </si>
  <si>
    <r>
      <t>R1</t>
    </r>
    <r>
      <rPr>
        <vertAlign val="subscript"/>
        <sz val="10"/>
        <rFont val="Arial"/>
        <family val="2"/>
      </rPr>
      <t>A</t>
    </r>
    <r>
      <rPr>
        <sz val="10"/>
        <rFont val="Arial"/>
      </rPr>
      <t xml:space="preserve"> + R1</t>
    </r>
    <r>
      <rPr>
        <vertAlign val="subscript"/>
        <sz val="10"/>
        <rFont val="Arial"/>
        <family val="2"/>
      </rPr>
      <t>B</t>
    </r>
  </si>
  <si>
    <t xml:space="preserve"> From "Input" above, b =</t>
  </si>
  <si>
    <t>Beam Safety Factor,  SF =</t>
  </si>
  <si>
    <t>Total moment at x,  Mx =</t>
  </si>
  <si>
    <t>lbs/ft</t>
  </si>
  <si>
    <t>Moment stress at x,  Fx =</t>
  </si>
  <si>
    <t>Safety Factor at x,  SFx =</t>
  </si>
  <si>
    <t>Fa / Fx</t>
  </si>
  <si>
    <t>At location x</t>
  </si>
  <si>
    <t>Load location in inches, a =</t>
  </si>
  <si>
    <t>Beam dimension in inches,  b =</t>
  </si>
  <si>
    <r>
      <t>R1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* x </t>
    </r>
  </si>
  <si>
    <t>-(P - R1)</t>
  </si>
  <si>
    <t>-(W - R1)</t>
  </si>
  <si>
    <t>Total beam deflection at x , y =</t>
  </si>
  <si>
    <t>Li / 360</t>
  </si>
  <si>
    <r>
      <t>Max beam deflection due to load P, y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 xml:space="preserve"> =</t>
    </r>
  </si>
  <si>
    <t>"-((P*a*b)*(1 +b/Li))/(6*E*I)</t>
  </si>
  <si>
    <t>radians</t>
  </si>
  <si>
    <t>Max beam deflection due to load w , ym =</t>
  </si>
  <si>
    <t>End Slopes</t>
  </si>
  <si>
    <t>Beam Deflection at x</t>
  </si>
  <si>
    <t>Max Beam Deflection</t>
  </si>
  <si>
    <t>Beam Shear &amp; Moment Diagrams</t>
  </si>
  <si>
    <t>Beam deflection at x due to load P, yp =</t>
  </si>
  <si>
    <t xml:space="preserve">Total Beam Deflection at x </t>
  </si>
  <si>
    <t>Location</t>
  </si>
  <si>
    <t>Moment</t>
  </si>
  <si>
    <t>Load</t>
  </si>
  <si>
    <r>
      <t>W - V1</t>
    </r>
    <r>
      <rPr>
        <vertAlign val="subscript"/>
        <sz val="10"/>
        <rFont val="Arial"/>
        <family val="2"/>
      </rPr>
      <t>A</t>
    </r>
  </si>
  <si>
    <t>M11+M21+M31+M41</t>
  </si>
  <si>
    <t>an, in</t>
  </si>
  <si>
    <t>Pn, lbs</t>
  </si>
  <si>
    <t>Mnn, in-lbs</t>
  </si>
  <si>
    <t>Beam dimension in inches,  b4 =</t>
  </si>
  <si>
    <t>Beam dimension in inches,  b3 =</t>
  </si>
  <si>
    <t>Beam dimension in inches,  b2 =</t>
  </si>
  <si>
    <t>Beam dimension in inches,  b1 =</t>
  </si>
  <si>
    <t>Max Moment =</t>
  </si>
  <si>
    <t>M11 + M22*a1/a2 + M33*a1/a3 + M44*a1/a4</t>
  </si>
  <si>
    <t>M12+M22+M32+M42</t>
  </si>
  <si>
    <t>Total moment at load P1, M1T =</t>
  </si>
  <si>
    <t>Total moment at load P2, M2T =</t>
  </si>
  <si>
    <t>M11*b2/b1 + M22 + M33*a2/a3 + M44*a2/a4</t>
  </si>
  <si>
    <t>Total moment at load P3, M3T =</t>
  </si>
  <si>
    <t>M13+M23+M33+M43</t>
  </si>
  <si>
    <t>M11*b3/b1 + M22*b3/b2 + M33 + M44*a3/a4</t>
  </si>
  <si>
    <t>Total moment at load P4, M4T =</t>
  </si>
  <si>
    <t>M14+M24+M34+M44</t>
  </si>
  <si>
    <t>M11*b4/b1 + M22*b4/b2 + M33*b4/b3 + M44</t>
  </si>
  <si>
    <t>a1 =</t>
  </si>
  <si>
    <t>a2 =</t>
  </si>
  <si>
    <t>a3 =</t>
  </si>
  <si>
    <t>a4 =</t>
  </si>
  <si>
    <t>M11 =</t>
  </si>
  <si>
    <t>M22 =</t>
  </si>
  <si>
    <t>M33 =</t>
  </si>
  <si>
    <t>M44 =</t>
  </si>
  <si>
    <t>P1 =</t>
  </si>
  <si>
    <t>P2 =</t>
  </si>
  <si>
    <t>P3 =</t>
  </si>
  <si>
    <t xml:space="preserve"> P4 =</t>
  </si>
  <si>
    <t>W =</t>
  </si>
  <si>
    <t xml:space="preserve">CALCULATE </t>
  </si>
  <si>
    <t>INPUT from above</t>
  </si>
  <si>
    <t xml:space="preserve">Beam Single Load Moment </t>
  </si>
  <si>
    <t>Max moment, Mm =</t>
  </si>
  <si>
    <t>(at x = L / 2),    =</t>
  </si>
  <si>
    <t>(P*L^2) / (2*E*I)</t>
  </si>
  <si>
    <r>
      <t>Right support force, R</t>
    </r>
    <r>
      <rPr>
        <sz val="10"/>
        <rFont val="Arial"/>
      </rPr>
      <t xml:space="preserve"> =</t>
    </r>
  </si>
  <si>
    <t xml:space="preserve">W </t>
  </si>
  <si>
    <r>
      <t>Beam shear force at x,  V</t>
    </r>
    <r>
      <rPr>
        <sz val="10"/>
        <rFont val="Arial"/>
      </rPr>
      <t xml:space="preserve"> =</t>
    </r>
  </si>
  <si>
    <t>Moment at x,  Mx =</t>
  </si>
  <si>
    <r>
      <t>Right support force, R</t>
    </r>
    <r>
      <rPr>
        <vertAlign val="subscript"/>
        <sz val="10"/>
        <rFont val="Arial"/>
        <family val="2"/>
      </rPr>
      <t>B</t>
    </r>
    <r>
      <rPr>
        <sz val="10"/>
        <rFont val="Arial"/>
      </rPr>
      <t xml:space="preserve"> =</t>
    </r>
  </si>
  <si>
    <r>
      <t>Max beam shear force, V</t>
    </r>
    <r>
      <rPr>
        <sz val="10"/>
        <rFont val="Arial"/>
      </rPr>
      <t xml:space="preserve"> =</t>
    </r>
  </si>
  <si>
    <r>
      <t>R</t>
    </r>
    <r>
      <rPr>
        <vertAlign val="subscript"/>
        <sz val="10"/>
        <rFont val="Arial"/>
        <family val="2"/>
      </rPr>
      <t>B</t>
    </r>
  </si>
  <si>
    <r>
      <t>y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+ y</t>
    </r>
    <r>
      <rPr>
        <vertAlign val="subscript"/>
        <sz val="10"/>
        <rFont val="Arial"/>
        <family val="2"/>
      </rPr>
      <t>B</t>
    </r>
  </si>
  <si>
    <t xml:space="preserve">-((w/12)*x^2 / 2)  </t>
  </si>
  <si>
    <t>- (w/12)*x</t>
  </si>
  <si>
    <t xml:space="preserve">Total Beam Slope at x </t>
  </si>
  <si>
    <r>
      <t>θ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+ θ</t>
    </r>
    <r>
      <rPr>
        <vertAlign val="subscript"/>
        <sz val="10"/>
        <rFont val="Arial"/>
        <family val="2"/>
      </rPr>
      <t>B</t>
    </r>
  </si>
  <si>
    <t>Beam Deflection</t>
  </si>
  <si>
    <t>CALCULATE</t>
  </si>
  <si>
    <t>This is the end of this Worksheet</t>
  </si>
  <si>
    <t>X =</t>
  </si>
  <si>
    <t>Y =</t>
  </si>
  <si>
    <t xml:space="preserve">P  </t>
  </si>
  <si>
    <t>- R</t>
  </si>
  <si>
    <t>b =</t>
  </si>
  <si>
    <t>(L - a)</t>
  </si>
  <si>
    <t>(P*b^2/(6*E*I))*(3*L - b)</t>
  </si>
  <si>
    <r>
      <t>Max beam deflection at x = 0,   y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 xml:space="preserve"> =</t>
    </r>
  </si>
  <si>
    <t>(P*b^2/(6*E*I))*(3*L - 3*x - b)</t>
  </si>
  <si>
    <t>(P*(L - x)^2/(6*E*I))*(3*b - L + x)</t>
  </si>
  <si>
    <r>
      <t>2*P*a^2*b^2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/ L^3</t>
    </r>
  </si>
  <si>
    <t>Moment at load P, Ma =</t>
  </si>
  <si>
    <t>Moment at x = 0,  M1 =</t>
  </si>
  <si>
    <t>Moment at x = L,  M2 =</t>
  </si>
  <si>
    <r>
      <t>-(P - R1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>)</t>
    </r>
  </si>
  <si>
    <r>
      <t>Max beam deflection at x = L / 2,  y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 xml:space="preserve"> =</t>
    </r>
  </si>
  <si>
    <t>((w/12)*L^4)/(384*E*I)</t>
  </si>
  <si>
    <t>Mx1 + Mx2</t>
  </si>
  <si>
    <t>R1*x - ((P*a*b^2)/L^2)</t>
  </si>
  <si>
    <t>Moment at x if x &lt; a,  Mx1 =</t>
  </si>
  <si>
    <t>y1 + y2</t>
  </si>
  <si>
    <r>
      <t>Total moment at x if x &lt; a,  M</t>
    </r>
    <r>
      <rPr>
        <vertAlign val="subscript"/>
        <sz val="10"/>
        <rFont val="Arial"/>
        <family val="2"/>
      </rPr>
      <t>XT</t>
    </r>
    <r>
      <rPr>
        <sz val="10"/>
        <rFont val="Arial"/>
        <family val="2"/>
      </rPr>
      <t xml:space="preserve"> =</t>
    </r>
  </si>
  <si>
    <t>ya + yb</t>
  </si>
  <si>
    <t>Beam deflection due to load w at x, yb =</t>
  </si>
  <si>
    <t>P*a*b /L</t>
  </si>
  <si>
    <t>Beam span in feet, Lf =</t>
  </si>
  <si>
    <t>Beam span in inches, L =</t>
  </si>
  <si>
    <t>Lf * 12</t>
  </si>
  <si>
    <t>w * Lf</t>
  </si>
  <si>
    <t xml:space="preserve">          =</t>
  </si>
  <si>
    <t>((w/12)/(24*E*I))*((3*L^4 - 4*L^3*x + x^4))</t>
  </si>
  <si>
    <t>((w/12)*L^4) / (8*E*I)</t>
  </si>
  <si>
    <t>((w/12)*L^3) / (6*E*I)</t>
  </si>
  <si>
    <t>CASE-A CANTILEVER WITH LOAD AT ANY POINT</t>
  </si>
  <si>
    <t>2. Excel will make the calculations.</t>
  </si>
  <si>
    <t>1. Type in each "input" data value.</t>
  </si>
  <si>
    <t>3. Use "Goal Seek" to optimize.</t>
  </si>
  <si>
    <t>- P * b</t>
  </si>
  <si>
    <t xml:space="preserve">CALCULATE continued </t>
  </si>
  <si>
    <t>CALCULATE  continued</t>
  </si>
  <si>
    <t>Section moment area about x-x, I =</t>
  </si>
  <si>
    <r>
      <t>Right support force, R</t>
    </r>
    <r>
      <rPr>
        <sz val="10"/>
        <rFont val="Arial"/>
      </rPr>
      <t xml:space="preserve"> = V =</t>
    </r>
  </si>
  <si>
    <t>w*L</t>
  </si>
  <si>
    <t>(w/12)*L^2 / 6</t>
  </si>
  <si>
    <t>(w/12)*(L^2 - 3*x^2) / 6</t>
  </si>
  <si>
    <t>(w/12)*L^4 / (24*E*I)</t>
  </si>
  <si>
    <t>Beam deflection at x,  yx =</t>
  </si>
  <si>
    <t>Max deflection at x = 0,   ym =</t>
  </si>
  <si>
    <t>(w/12)*(L^2 - x^2)^2 / (24*E*I)</t>
  </si>
  <si>
    <t>Beam right end slope,  θR =</t>
  </si>
  <si>
    <t>Beam left end slope,  θL =</t>
  </si>
  <si>
    <t>Beam right end slope, θR =</t>
  </si>
  <si>
    <t>Beam left end slope,  θR =</t>
  </si>
  <si>
    <t>Beam right end slope,  θL =</t>
  </si>
  <si>
    <t>Beam Moment Diagram Calculation</t>
  </si>
  <si>
    <t>Beam Moment Diagrams</t>
  </si>
  <si>
    <t xml:space="preserve">CASE-B FIXED BOTH ENDS BEAM WITH UNIFORM LOAD </t>
  </si>
  <si>
    <t xml:space="preserve">CASE-C FIXED BOTH ENDS, CONCENTRATED &amp; UNIFORM LOADS </t>
  </si>
  <si>
    <r>
      <t>Beam deflection due to load w at x,  y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 xml:space="preserve"> =</t>
    </r>
  </si>
  <si>
    <t>CASE-D FIXED ONE END WITH CONCENTRATED  LOAD</t>
  </si>
  <si>
    <t>L - a</t>
  </si>
  <si>
    <t>P * b / L</t>
  </si>
  <si>
    <t>(0.06415*P*b/(E*I*L))*((L^2 - b^2)^1.5)</t>
  </si>
  <si>
    <t>(a*(L + b) / 3)^0.5</t>
  </si>
  <si>
    <t>(P*b/(6*E*I*L))*((L^2*x - b^2*x - x^3)</t>
  </si>
  <si>
    <t>((P*a*b)*(1 +a/L))/(6*E*I)</t>
  </si>
  <si>
    <t>(w/(24*E*I))*((L^3*x - 2*L*x^3 + x^4))</t>
  </si>
  <si>
    <t>(5*w*L^4) / (384*E*I)</t>
  </si>
  <si>
    <t>"-((w*L^3) / (24*E*I)</t>
  </si>
  <si>
    <t>((w*L^3) / (24*E*I)</t>
  </si>
  <si>
    <t>L / 360</t>
  </si>
  <si>
    <t>L - a4 =</t>
  </si>
  <si>
    <t>L - a3 =</t>
  </si>
  <si>
    <t>L - a2 =</t>
  </si>
  <si>
    <t>L - a1 =</t>
  </si>
  <si>
    <t>(P1 * b1 / L)+(P2 * b2 / L)+(P3 * b3 / L)+(P4 * b4 / L)</t>
  </si>
  <si>
    <t>(P*b^2 / L^3)*(3*a + b)</t>
  </si>
  <si>
    <t>(P*a^2 / L^3)*(a + 3*b)</t>
  </si>
  <si>
    <r>
      <t>P*a*b^2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/ L^2</t>
    </r>
  </si>
  <si>
    <r>
      <t>P*a^2*b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/ L^2</t>
    </r>
  </si>
  <si>
    <t>(2*a*L)/(3*a + b)</t>
  </si>
  <si>
    <t>AISC Beam Section =</t>
  </si>
  <si>
    <t xml:space="preserve">Loading due to P &amp; w </t>
  </si>
  <si>
    <t xml:space="preserve">CASE-F FIXED ONE END WITH  CONCENTRATED &amp; UNIFORM LOADS </t>
  </si>
  <si>
    <t>Moment at x = a, Ma =</t>
  </si>
  <si>
    <t>Moment at x: &lt; a,  Mx =</t>
  </si>
  <si>
    <t>((P*a/(12*E*I*L^3))*(L - x)^2*(3*L^2*x - a^2*x - 2*a^2*L)</t>
  </si>
  <si>
    <t>w*Lf</t>
  </si>
  <si>
    <t>ΣFy =</t>
  </si>
  <si>
    <r>
      <t>Left support force, R</t>
    </r>
    <r>
      <rPr>
        <vertAlign val="subscript"/>
        <sz val="10"/>
        <rFont val="Arial"/>
        <family val="2"/>
      </rPr>
      <t xml:space="preserve">L </t>
    </r>
    <r>
      <rPr>
        <sz val="10"/>
        <rFont val="Arial"/>
        <family val="2"/>
      </rPr>
      <t>= V</t>
    </r>
    <r>
      <rPr>
        <vertAlign val="subscript"/>
        <sz val="10"/>
        <rFont val="Arial"/>
        <family val="2"/>
      </rPr>
      <t>L</t>
    </r>
    <r>
      <rPr>
        <sz val="10"/>
        <rFont val="Arial"/>
      </rPr>
      <t xml:space="preserve"> =</t>
    </r>
  </si>
  <si>
    <r>
      <t>Right support force, R</t>
    </r>
    <r>
      <rPr>
        <vertAlign val="subscript"/>
        <sz val="10"/>
        <rFont val="Arial"/>
        <family val="2"/>
      </rPr>
      <t>R</t>
    </r>
    <r>
      <rPr>
        <sz val="10"/>
        <rFont val="Arial"/>
        <family val="2"/>
      </rPr>
      <t xml:space="preserve"> = V</t>
    </r>
    <r>
      <rPr>
        <vertAlign val="subscript"/>
        <sz val="10"/>
        <rFont val="Arial"/>
        <family val="2"/>
      </rPr>
      <t>R</t>
    </r>
    <r>
      <rPr>
        <sz val="10"/>
        <rFont val="Arial"/>
      </rPr>
      <t xml:space="preserve"> =</t>
    </r>
  </si>
  <si>
    <r>
      <t>Moment at x = L,  M</t>
    </r>
    <r>
      <rPr>
        <vertAlign val="subscript"/>
        <sz val="10"/>
        <rFont val="Arial"/>
        <family val="2"/>
      </rPr>
      <t>R</t>
    </r>
    <r>
      <rPr>
        <sz val="10"/>
        <rFont val="Arial"/>
        <family val="2"/>
      </rPr>
      <t xml:space="preserve"> =</t>
    </r>
  </si>
  <si>
    <r>
      <t>R</t>
    </r>
    <r>
      <rPr>
        <vertAlign val="subscript"/>
        <sz val="10"/>
        <rFont val="Arial"/>
        <family val="2"/>
      </rPr>
      <t>L</t>
    </r>
    <r>
      <rPr>
        <sz val="10"/>
        <rFont val="Arial"/>
      </rPr>
      <t>*L - P*b</t>
    </r>
  </si>
  <si>
    <r>
      <t>R</t>
    </r>
    <r>
      <rPr>
        <vertAlign val="subscript"/>
        <sz val="10"/>
        <rFont val="Arial"/>
        <family val="2"/>
      </rPr>
      <t>L</t>
    </r>
    <r>
      <rPr>
        <sz val="10"/>
        <rFont val="Arial"/>
        <family val="2"/>
      </rPr>
      <t xml:space="preserve">*x </t>
    </r>
  </si>
  <si>
    <r>
      <t>R</t>
    </r>
    <r>
      <rPr>
        <vertAlign val="subscript"/>
        <sz val="10"/>
        <rFont val="Arial"/>
        <family val="2"/>
      </rPr>
      <t>L</t>
    </r>
    <r>
      <rPr>
        <sz val="10"/>
        <rFont val="Arial"/>
        <family val="2"/>
      </rPr>
      <t>*x - P*(x - a)</t>
    </r>
  </si>
  <si>
    <t>0.414*L</t>
  </si>
  <si>
    <t xml:space="preserve">CASE-E  FIXED ONE END WITH  UNIFORM LOAD </t>
  </si>
  <si>
    <t>Location must be less than a, x =</t>
  </si>
  <si>
    <t>Location in inches from above, x =</t>
  </si>
  <si>
    <t>Load location in inches from above, a =</t>
  </si>
  <si>
    <t xml:space="preserve">lbs </t>
  </si>
  <si>
    <t>Total moment at x if x &lt; a,  Mx =</t>
  </si>
  <si>
    <t>Total moment at x if x &gt; a,  Mx =</t>
  </si>
  <si>
    <r>
      <t>(R</t>
    </r>
    <r>
      <rPr>
        <vertAlign val="subscript"/>
        <sz val="10"/>
        <rFont val="Arial"/>
        <family val="2"/>
      </rPr>
      <t>L</t>
    </r>
    <r>
      <rPr>
        <sz val="10"/>
        <rFont val="Arial"/>
        <family val="2"/>
      </rPr>
      <t xml:space="preserve"> * x) - ((w/12) * x^2 / 2) </t>
    </r>
  </si>
  <si>
    <r>
      <t>(R</t>
    </r>
    <r>
      <rPr>
        <vertAlign val="subscript"/>
        <sz val="10"/>
        <rFont val="Arial"/>
        <family val="2"/>
      </rPr>
      <t>L</t>
    </r>
    <r>
      <rPr>
        <sz val="10"/>
        <rFont val="Arial"/>
        <family val="2"/>
      </rPr>
      <t xml:space="preserve"> * x) - ((w/12) * x^2 / 2) - (P*(a - x))</t>
    </r>
  </si>
  <si>
    <t>Total moment from above,  Mx =</t>
  </si>
  <si>
    <t>Beam deflection at: x &lt; a,  y =</t>
  </si>
  <si>
    <t>Total deflection at x if x &lt; a,  y =</t>
  </si>
  <si>
    <r>
      <t>Left support force, R</t>
    </r>
    <r>
      <rPr>
        <vertAlign val="subscript"/>
        <sz val="10"/>
        <rFont val="Arial"/>
        <family val="2"/>
      </rPr>
      <t>L</t>
    </r>
    <r>
      <rPr>
        <sz val="10"/>
        <rFont val="Arial"/>
      </rPr>
      <t xml:space="preserve"> =</t>
    </r>
  </si>
  <si>
    <r>
      <t>Left beam shear force, V</t>
    </r>
    <r>
      <rPr>
        <vertAlign val="subscript"/>
        <sz val="10"/>
        <rFont val="Arial"/>
        <family val="2"/>
      </rPr>
      <t>L</t>
    </r>
    <r>
      <rPr>
        <sz val="10"/>
        <rFont val="Arial"/>
      </rPr>
      <t xml:space="preserve"> =</t>
    </r>
  </si>
  <si>
    <r>
      <t>Right beam shear force, V</t>
    </r>
    <r>
      <rPr>
        <vertAlign val="subscript"/>
        <sz val="10"/>
        <rFont val="Arial"/>
        <family val="2"/>
      </rPr>
      <t>R</t>
    </r>
    <r>
      <rPr>
        <b/>
        <sz val="10"/>
        <rFont val="Arial"/>
        <family val="2"/>
      </rPr>
      <t xml:space="preserve"> </t>
    </r>
    <r>
      <rPr>
        <sz val="10"/>
        <rFont val="Arial"/>
      </rPr>
      <t>=</t>
    </r>
  </si>
  <si>
    <r>
      <t>Left support force, R</t>
    </r>
    <r>
      <rPr>
        <vertAlign val="subscript"/>
        <sz val="10"/>
        <rFont val="Arial"/>
        <family val="2"/>
      </rPr>
      <t>L</t>
    </r>
    <r>
      <rPr>
        <sz val="10"/>
        <rFont val="Arial"/>
        <family val="2"/>
      </rPr>
      <t xml:space="preserve"> =</t>
    </r>
  </si>
  <si>
    <r>
      <t>Right support force, R</t>
    </r>
    <r>
      <rPr>
        <vertAlign val="subscript"/>
        <sz val="10"/>
        <rFont val="Arial"/>
        <family val="2"/>
      </rPr>
      <t>R</t>
    </r>
    <r>
      <rPr>
        <sz val="10"/>
        <rFont val="Arial"/>
        <family val="2"/>
      </rPr>
      <t xml:space="preserve"> =</t>
    </r>
  </si>
  <si>
    <r>
      <t>R</t>
    </r>
    <r>
      <rPr>
        <vertAlign val="subscript"/>
        <sz val="10"/>
        <rFont val="Arial"/>
        <family val="2"/>
      </rPr>
      <t xml:space="preserve">L </t>
    </r>
    <r>
      <rPr>
        <sz val="10"/>
        <rFont val="Arial"/>
        <family val="2"/>
      </rPr>
      <t>* a</t>
    </r>
  </si>
  <si>
    <r>
      <t>Moment at x if x &gt; a, M</t>
    </r>
    <r>
      <rPr>
        <vertAlign val="subscript"/>
        <sz val="10"/>
        <rFont val="Arial"/>
        <family val="2"/>
      </rPr>
      <t>A</t>
    </r>
    <r>
      <rPr>
        <sz val="10"/>
        <rFont val="Arial"/>
      </rPr>
      <t xml:space="preserve"> =</t>
    </r>
  </si>
  <si>
    <t>CASE-C CANTILEVER FREE TO DEFLECT BUT NOT ROTATE</t>
  </si>
  <si>
    <t>Total beam deflection at x if x &gt; a , y =</t>
  </si>
  <si>
    <r>
      <t>Total moment at x if x &gt; a,  Mx</t>
    </r>
    <r>
      <rPr>
        <vertAlign val="subscript"/>
        <sz val="10"/>
        <rFont val="Arial"/>
        <family val="2"/>
      </rPr>
      <t>T</t>
    </r>
    <r>
      <rPr>
        <sz val="10"/>
        <rFont val="Arial"/>
      </rPr>
      <t xml:space="preserve"> =</t>
    </r>
  </si>
  <si>
    <t>Moment at x if x &gt; a,  Mx1 =</t>
  </si>
  <si>
    <t>Moment at x,  Mx2 =</t>
  </si>
  <si>
    <r>
      <t>Mx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 xml:space="preserve"> / Sx</t>
    </r>
  </si>
  <si>
    <t>- P*(x - a)</t>
  </si>
  <si>
    <t>- (w/12) * L^2 / 2</t>
  </si>
  <si>
    <t>-(w/12)*L^2 / 3</t>
  </si>
  <si>
    <r>
      <t>Moment at deflected end, M</t>
    </r>
    <r>
      <rPr>
        <vertAlign val="subscript"/>
        <sz val="10"/>
        <rFont val="Arial"/>
        <family val="2"/>
      </rPr>
      <t>L</t>
    </r>
    <r>
      <rPr>
        <sz val="10"/>
        <rFont val="Arial"/>
        <family val="2"/>
      </rPr>
      <t xml:space="preserve"> =</t>
    </r>
  </si>
  <si>
    <t>CASE-A  CONTINUOUS BEAM PINNED WITH CONCENTRATED LOAD</t>
  </si>
  <si>
    <t>(P*b / (4*L^3))*(4*L^2 - a*(L + a))</t>
  </si>
  <si>
    <t>Max moment at x = a,  Ma =</t>
  </si>
  <si>
    <t>CASE-B  CONTINUOUS BEAM PINNED WITH DISTRIBUTED LOAD</t>
  </si>
  <si>
    <t>7*(w/12)*L / 16</t>
  </si>
  <si>
    <t>(w/12)*L / 16</t>
  </si>
  <si>
    <r>
      <t>Moment at x if x &lt; L, Mx</t>
    </r>
    <r>
      <rPr>
        <sz val="10"/>
        <rFont val="Arial"/>
      </rPr>
      <t xml:space="preserve"> =</t>
    </r>
  </si>
  <si>
    <t>Beam single span in inches, L =</t>
  </si>
  <si>
    <t>Max moment at x = a,  Ma1 =</t>
  </si>
  <si>
    <r>
      <t>Moment at x = L, Ma2</t>
    </r>
    <r>
      <rPr>
        <sz val="10"/>
        <rFont val="Arial"/>
      </rPr>
      <t xml:space="preserve"> =</t>
    </r>
  </si>
  <si>
    <t>(49*w/12)*L^2 / 512</t>
  </si>
  <si>
    <t>Ma1 + Mb1</t>
  </si>
  <si>
    <t>Ma2 + Mb2</t>
  </si>
  <si>
    <t>Va1 + Vb1</t>
  </si>
  <si>
    <t>Va3 + Vb3</t>
  </si>
  <si>
    <t>Va2 + Vb2</t>
  </si>
  <si>
    <r>
      <t>Left support force, R</t>
    </r>
    <r>
      <rPr>
        <vertAlign val="subscript"/>
        <sz val="10"/>
        <rFont val="Arial"/>
        <family val="2"/>
      </rPr>
      <t xml:space="preserve">1 </t>
    </r>
    <r>
      <rPr>
        <sz val="10"/>
        <rFont val="Arial"/>
        <family val="2"/>
      </rPr>
      <t>= Va</t>
    </r>
    <r>
      <rPr>
        <vertAlign val="subscript"/>
        <sz val="10"/>
        <rFont val="Arial"/>
        <family val="2"/>
      </rPr>
      <t>1</t>
    </r>
    <r>
      <rPr>
        <sz val="10"/>
        <rFont val="Arial"/>
      </rPr>
      <t xml:space="preserve"> =</t>
    </r>
  </si>
  <si>
    <r>
      <t>Right support force, R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= Va</t>
    </r>
    <r>
      <rPr>
        <vertAlign val="subscript"/>
        <sz val="10"/>
        <rFont val="Arial"/>
        <family val="2"/>
      </rPr>
      <t>3</t>
    </r>
    <r>
      <rPr>
        <sz val="10"/>
        <rFont val="Arial"/>
      </rPr>
      <t xml:space="preserve"> =</t>
    </r>
  </si>
  <si>
    <r>
      <t>Left support force, R</t>
    </r>
    <r>
      <rPr>
        <vertAlign val="subscript"/>
        <sz val="10"/>
        <rFont val="Arial"/>
        <family val="2"/>
      </rPr>
      <t xml:space="preserve">1 </t>
    </r>
    <r>
      <rPr>
        <sz val="10"/>
        <rFont val="Arial"/>
        <family val="2"/>
      </rPr>
      <t>= Vb</t>
    </r>
    <r>
      <rPr>
        <vertAlign val="subscript"/>
        <sz val="10"/>
        <rFont val="Arial"/>
        <family val="2"/>
      </rPr>
      <t>1</t>
    </r>
    <r>
      <rPr>
        <sz val="10"/>
        <rFont val="Arial"/>
      </rPr>
      <t xml:space="preserve"> =</t>
    </r>
  </si>
  <si>
    <r>
      <t>Support force at x = L, R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= Vb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=</t>
    </r>
  </si>
  <si>
    <r>
      <t>Right support force, R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= Vb</t>
    </r>
    <r>
      <rPr>
        <vertAlign val="subscript"/>
        <sz val="10"/>
        <rFont val="Arial"/>
        <family val="2"/>
      </rPr>
      <t>3</t>
    </r>
    <r>
      <rPr>
        <sz val="10"/>
        <rFont val="Arial"/>
      </rPr>
      <t xml:space="preserve"> =</t>
    </r>
  </si>
  <si>
    <t>Case A + Case B</t>
  </si>
  <si>
    <t>- 5*(w/12)*L / 8</t>
  </si>
  <si>
    <t>(P*b / (4*L^3))*(L + a)</t>
  </si>
  <si>
    <t>- (P*a*b / (4*L^2))*(L + a)</t>
  </si>
  <si>
    <t>- (w/12)*L^2 / 16</t>
  </si>
  <si>
    <r>
      <t>Moment at x = L,  Ma2</t>
    </r>
    <r>
      <rPr>
        <sz val="10"/>
        <rFont val="Arial"/>
      </rPr>
      <t xml:space="preserve"> =</t>
    </r>
  </si>
  <si>
    <r>
      <t>Left support force, R</t>
    </r>
    <r>
      <rPr>
        <vertAlign val="subscript"/>
        <sz val="10"/>
        <rFont val="Arial"/>
        <family val="2"/>
      </rPr>
      <t xml:space="preserve">1 </t>
    </r>
    <r>
      <rPr>
        <sz val="10"/>
        <rFont val="Arial"/>
        <family val="2"/>
      </rPr>
      <t>= Vc</t>
    </r>
    <r>
      <rPr>
        <vertAlign val="subscript"/>
        <sz val="10"/>
        <rFont val="Arial"/>
        <family val="2"/>
      </rPr>
      <t>1</t>
    </r>
    <r>
      <rPr>
        <sz val="10"/>
        <rFont val="Arial"/>
      </rPr>
      <t xml:space="preserve"> =</t>
    </r>
  </si>
  <si>
    <r>
      <t>Support force at x = L, R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= Vc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=</t>
    </r>
  </si>
  <si>
    <r>
      <t>Right support force, R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= Vc</t>
    </r>
    <r>
      <rPr>
        <vertAlign val="subscript"/>
        <sz val="10"/>
        <rFont val="Arial"/>
        <family val="2"/>
      </rPr>
      <t>3</t>
    </r>
    <r>
      <rPr>
        <sz val="10"/>
        <rFont val="Arial"/>
      </rPr>
      <t xml:space="preserve"> =</t>
    </r>
  </si>
  <si>
    <t>Case C =</t>
  </si>
  <si>
    <t>&lt; Copy of cell above.</t>
  </si>
  <si>
    <t>What must force V will give a resultant R of 15?</t>
  </si>
  <si>
    <t>&lt; Cell C68</t>
  </si>
  <si>
    <t>&lt; Cell C65</t>
  </si>
  <si>
    <t>TYPICAL  STEEL  STRUCTURE  DETAILS</t>
  </si>
  <si>
    <t>Section 2nd moment of area about x-x, I =</t>
  </si>
  <si>
    <t>Total uniform load,  W =</t>
  </si>
  <si>
    <t xml:space="preserve">CALCULATE contnued </t>
  </si>
  <si>
    <t>CALCULATE  contnued</t>
  </si>
  <si>
    <t>P*b^3/(3*E*I)</t>
  </si>
  <si>
    <r>
      <t>Total beam deflection at x if x &lt; a,  y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 xml:space="preserve"> =</t>
    </r>
  </si>
  <si>
    <t>Total beam end slope (at x = 0),  θt =</t>
  </si>
  <si>
    <t>Allowable tension/compression stress, Fa =</t>
  </si>
  <si>
    <t>Moment in beam, M =</t>
  </si>
  <si>
    <t>Allowable material stress, Fa =</t>
  </si>
  <si>
    <t>Safety Factor, SF =</t>
  </si>
  <si>
    <t>Required beam section modulus,  Sx =</t>
  </si>
  <si>
    <t>SF * M / Fa</t>
  </si>
  <si>
    <t>Select Beam Section Sx</t>
  </si>
  <si>
    <t>Select beam from tables =</t>
  </si>
  <si>
    <t>W14x43</t>
  </si>
  <si>
    <t>Actual beam section modulus, Sx =</t>
  </si>
  <si>
    <t>CASE-D BEAM PINNED AT BOTH ENDS</t>
  </si>
  <si>
    <t>Determine Member Section Size based on estimated section modulus Sx</t>
  </si>
  <si>
    <t>CASE-D CANTILEVER WITH END LOAD</t>
  </si>
  <si>
    <r>
      <t>Max moment is at fixed end, M</t>
    </r>
    <r>
      <rPr>
        <vertAlign val="subscript"/>
        <sz val="10"/>
        <rFont val="Arial"/>
        <family val="2"/>
      </rPr>
      <t>R</t>
    </r>
    <r>
      <rPr>
        <sz val="10"/>
        <rFont val="Arial"/>
        <family val="2"/>
      </rPr>
      <t xml:space="preserve"> =</t>
    </r>
  </si>
  <si>
    <t>Effect of load P only</t>
  </si>
  <si>
    <t>Effect of beam weight only</t>
  </si>
  <si>
    <t>Max moment at load P, x = a,  Mm =</t>
  </si>
  <si>
    <t>(w*x / 24)*(L - x)</t>
  </si>
  <si>
    <t>(w*a / 24)*(L - a)</t>
  </si>
  <si>
    <t>Max beam deflection location,  xm =</t>
  </si>
  <si>
    <t>Mm + Ma</t>
  </si>
  <si>
    <t>Moment at x, Mx2 =</t>
  </si>
  <si>
    <t>Max moment (at load P), Mmm =</t>
  </si>
  <si>
    <t>Mmm / Sx</t>
  </si>
  <si>
    <t>(w/12) * Li^2 / 8</t>
  </si>
  <si>
    <t>Max moment in beam, M =</t>
  </si>
  <si>
    <t>CASE-A BEAM FIXED BOTH ENDS WITH LOAD AT ANY POINT</t>
  </si>
  <si>
    <t>CASE-A BEAM PINNED BOTH ENDSS WITH LOAD AT ANY POINT</t>
  </si>
  <si>
    <t xml:space="preserve">CASE-D BEAM PINNED ENDS WITH MULTIPLE CONCENTRATED LOADS </t>
  </si>
  <si>
    <r>
      <t>Desired deflection location at,  x</t>
    </r>
    <r>
      <rPr>
        <vertAlign val="subscript"/>
        <sz val="10"/>
        <rFont val="Arial"/>
        <family val="2"/>
      </rPr>
      <t>D</t>
    </r>
    <r>
      <rPr>
        <sz val="10"/>
        <rFont val="Arial"/>
        <family val="2"/>
      </rPr>
      <t xml:space="preserve"> =</t>
    </r>
  </si>
  <si>
    <r>
      <t>Max beam deflection location at,  x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 xml:space="preserve"> =</t>
    </r>
  </si>
  <si>
    <t>(w/12)*L / 2</t>
  </si>
  <si>
    <t>Moment at center span x = L/2, Mc =</t>
  </si>
  <si>
    <t>(w/12)*L^2 / 24</t>
  </si>
  <si>
    <t>(w/12)*L^2 / 12</t>
  </si>
  <si>
    <t>((w/12)/12)*(6*L*x - L^2 - 6*x^2)</t>
  </si>
  <si>
    <t>(((w/12)*x^2)/((24*E*I))*(L - x)^2)</t>
  </si>
  <si>
    <t>W12x40</t>
  </si>
  <si>
    <t xml:space="preserve">EXAMPLE: CANTILEVER WITH CONCENTRATED LOAD  </t>
  </si>
  <si>
    <t>Beam deflection at x &lt; a,   y =</t>
  </si>
  <si>
    <t>Beam deflection at x &gt; a,   y =</t>
  </si>
  <si>
    <t>Beam deflection at x = a,   ya =</t>
  </si>
  <si>
    <t>Beam deflection at x,  y2 =</t>
  </si>
  <si>
    <t>3*(w/12)*L / 8</t>
  </si>
  <si>
    <t>Lf = feet</t>
  </si>
  <si>
    <t>L = inches</t>
  </si>
  <si>
    <t>-5*(w/12)*L / 8</t>
  </si>
  <si>
    <r>
      <t>Left support force, R</t>
    </r>
    <r>
      <rPr>
        <vertAlign val="subscript"/>
        <sz val="10"/>
        <rFont val="Arial"/>
        <family val="2"/>
      </rPr>
      <t>L</t>
    </r>
    <r>
      <rPr>
        <sz val="10"/>
        <rFont val="Arial"/>
        <family val="2"/>
      </rPr>
      <t xml:space="preserve"> = V</t>
    </r>
    <r>
      <rPr>
        <vertAlign val="subscript"/>
        <sz val="10"/>
        <rFont val="Arial"/>
        <family val="2"/>
      </rPr>
      <t>L</t>
    </r>
    <r>
      <rPr>
        <sz val="10"/>
        <rFont val="Arial"/>
      </rPr>
      <t xml:space="preserve"> =</t>
    </r>
  </si>
  <si>
    <r>
      <t>R</t>
    </r>
    <r>
      <rPr>
        <vertAlign val="subscript"/>
        <sz val="10"/>
        <rFont val="Arial"/>
        <family val="2"/>
      </rPr>
      <t>L</t>
    </r>
    <r>
      <rPr>
        <sz val="10"/>
        <rFont val="Arial"/>
      </rPr>
      <t>*x - ((w/12)*x^2 / 2)</t>
    </r>
  </si>
  <si>
    <t>Moment at x, Ma =</t>
  </si>
  <si>
    <r>
      <t>Moment at x = L, M</t>
    </r>
    <r>
      <rPr>
        <vertAlign val="subscript"/>
        <sz val="10"/>
        <rFont val="Arial"/>
        <family val="2"/>
      </rPr>
      <t>R</t>
    </r>
    <r>
      <rPr>
        <sz val="10"/>
        <rFont val="Arial"/>
        <family val="2"/>
      </rPr>
      <t xml:space="preserve"> =</t>
    </r>
  </si>
  <si>
    <t>((w/12)*L^4 / (185*E*I)</t>
  </si>
  <si>
    <t>((w/12)*x / (48*E*I))*(L^3 - 3*L*x^2 + 2*x^3)</t>
  </si>
  <si>
    <r>
      <t>Max beam deflection,  y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 xml:space="preserve"> =</t>
    </r>
  </si>
  <si>
    <r>
      <t>Location of max deflection, x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 xml:space="preserve"> =</t>
    </r>
  </si>
  <si>
    <t>0.4215*L</t>
  </si>
  <si>
    <t>Moment x = 0.375*L,  M1 =</t>
  </si>
  <si>
    <t>(9 / 128)*((w/12)*L^2)</t>
  </si>
  <si>
    <t>- (P*a / (2*L^3))*(2*L^2 - b*(L + a))</t>
  </si>
  <si>
    <t>(P*a*b / (4*L^3))*(L + a))</t>
  </si>
  <si>
    <t>Moment at x = a,  Mb1 =</t>
  </si>
  <si>
    <t>Moment at x = a,  Mb2 =</t>
  </si>
  <si>
    <t>Load location from left support,  x =</t>
  </si>
  <si>
    <t>Two Equal Spans</t>
  </si>
  <si>
    <t>Location in inches from free end, x =</t>
  </si>
  <si>
    <t>Sx</t>
  </si>
  <si>
    <t>Beam section modulus about x-x,  Sx =</t>
  </si>
  <si>
    <t>w</t>
  </si>
  <si>
    <t>lb/ft</t>
  </si>
  <si>
    <t>W12x120</t>
  </si>
  <si>
    <t>W12x72</t>
  </si>
  <si>
    <t>W14x61</t>
  </si>
  <si>
    <t>W14x500</t>
  </si>
  <si>
    <t>W14x283</t>
  </si>
  <si>
    <t>W16x50</t>
  </si>
  <si>
    <t>W16x100</t>
  </si>
  <si>
    <t>W18x283</t>
  </si>
  <si>
    <t>W18x158</t>
  </si>
  <si>
    <t>W24x62</t>
  </si>
  <si>
    <t>W24x450</t>
  </si>
  <si>
    <t>W24x250</t>
  </si>
  <si>
    <t>Beam Deflection due to P only</t>
  </si>
  <si>
    <t>End Slopes due to P only</t>
  </si>
  <si>
    <t>CASE-B CANTILEVER WEIGHT LOAD w LB/FT</t>
  </si>
  <si>
    <t xml:space="preserve">CASE-C CANTILEVER WEIGHT AND CONCENTRATED LOADS </t>
  </si>
  <si>
    <r>
      <t>Max beam deflection at x = 0,   y</t>
    </r>
    <r>
      <rPr>
        <vertAlign val="subscript"/>
        <sz val="10"/>
        <rFont val="Arial"/>
        <family val="2"/>
      </rPr>
      <t>MP</t>
    </r>
    <r>
      <rPr>
        <sz val="10"/>
        <rFont val="Arial"/>
        <family val="2"/>
      </rPr>
      <t xml:space="preserve"> =</t>
    </r>
  </si>
  <si>
    <r>
      <t>Max beam deflection at free end,  y</t>
    </r>
    <r>
      <rPr>
        <vertAlign val="subscript"/>
        <sz val="10"/>
        <rFont val="Arial"/>
        <family val="2"/>
      </rPr>
      <t>MAX</t>
    </r>
    <r>
      <rPr>
        <sz val="10"/>
        <rFont val="Arial"/>
        <family val="2"/>
      </rPr>
      <t xml:space="preserve"> =</t>
    </r>
  </si>
  <si>
    <r>
      <t>Max beam deflection due to load w,  y</t>
    </r>
    <r>
      <rPr>
        <vertAlign val="subscript"/>
        <sz val="10"/>
        <rFont val="Arial"/>
        <family val="2"/>
      </rPr>
      <t>MW</t>
    </r>
    <r>
      <rPr>
        <sz val="10"/>
        <rFont val="Arial"/>
        <family val="2"/>
      </rPr>
      <t xml:space="preserve"> =</t>
    </r>
  </si>
  <si>
    <r>
      <t>y</t>
    </r>
    <r>
      <rPr>
        <vertAlign val="subscript"/>
        <sz val="10"/>
        <rFont val="Arial"/>
        <family val="2"/>
      </rPr>
      <t>MW</t>
    </r>
    <r>
      <rPr>
        <sz val="10"/>
        <rFont val="Arial"/>
        <family val="2"/>
      </rPr>
      <t xml:space="preserve"> + y</t>
    </r>
    <r>
      <rPr>
        <vertAlign val="subscript"/>
        <sz val="10"/>
        <rFont val="Arial"/>
        <family val="2"/>
      </rPr>
      <t>MB</t>
    </r>
  </si>
  <si>
    <t>Total Cantilever Deflection due to beam weight and load P.</t>
  </si>
  <si>
    <t>Determine Steel Member Section Size based on estimated section modulus Sx</t>
  </si>
  <si>
    <t>SAMPLE AISC STANDARD WIDE FLANGE BEAMS</t>
  </si>
  <si>
    <t>Max moment at x &gt; a,  Mx =</t>
  </si>
  <si>
    <r>
      <t>R</t>
    </r>
    <r>
      <rPr>
        <vertAlign val="subscript"/>
        <sz val="10"/>
        <rFont val="Arial"/>
        <family val="2"/>
      </rPr>
      <t>L</t>
    </r>
    <r>
      <rPr>
        <sz val="10"/>
        <rFont val="Arial"/>
        <family val="2"/>
      </rPr>
      <t>*x - P*(x - a)</t>
    </r>
  </si>
  <si>
    <t>Location in inches from left end, x =</t>
  </si>
  <si>
    <t>Max Beam Deflection due to load P</t>
  </si>
  <si>
    <t xml:space="preserve">CASE-B BEAM PINNED BOTH ENDS - BEAM WEIGHT ONLY </t>
  </si>
  <si>
    <t xml:space="preserve">CASE-C BEAM PINNED ENDS, CONCENTRATED LOAD &amp; BEAM WEIGHT </t>
  </si>
  <si>
    <t>Ix</t>
  </si>
  <si>
    <t>Effect of contiuous beam weight only</t>
  </si>
  <si>
    <t>((w/12)*x)*(7*L - 8*x)) / 16</t>
  </si>
  <si>
    <t>Max Beam Deflection due to P only</t>
  </si>
  <si>
    <t>Beam deflection due to beam weight</t>
  </si>
  <si>
    <t>MATH TOOLS</t>
  </si>
  <si>
    <t>Horizontal force, H =</t>
  </si>
  <si>
    <t>kips</t>
  </si>
  <si>
    <t>Vertical force, V =</t>
  </si>
  <si>
    <t>Angle, A =</t>
  </si>
  <si>
    <t>BOLTS IN DOUBLE SHEAR</t>
  </si>
  <si>
    <t>FASTENER</t>
  </si>
  <si>
    <t>ALLOWABLE</t>
  </si>
  <si>
    <t>Bolt allowable shear stress, Sbs =</t>
  </si>
  <si>
    <t>ksi</t>
  </si>
  <si>
    <r>
      <t>SHEAR KSI</t>
    </r>
    <r>
      <rPr>
        <b/>
        <vertAlign val="superscript"/>
        <sz val="10"/>
        <rFont val="Arial"/>
        <family val="2"/>
      </rPr>
      <t>a</t>
    </r>
  </si>
  <si>
    <t>Plate ultimate tension stress, Su =</t>
  </si>
  <si>
    <t>RIVETS</t>
  </si>
  <si>
    <t>Plate yield stress, Sy =</t>
  </si>
  <si>
    <t>A502 Grade 1</t>
  </si>
  <si>
    <t>Number of bolts,  N =</t>
  </si>
  <si>
    <t>A502 Grade 2</t>
  </si>
  <si>
    <t>Bolt diameter, D =</t>
  </si>
  <si>
    <t>Gusset thickness, T1 =</t>
  </si>
  <si>
    <t>BOLTS</t>
  </si>
  <si>
    <t>Angle leg thickness, T2 =</t>
  </si>
  <si>
    <t>A307</t>
  </si>
  <si>
    <t>Angle leg length, L1 =</t>
  </si>
  <si>
    <r>
      <t>A325-N</t>
    </r>
    <r>
      <rPr>
        <vertAlign val="superscript"/>
        <sz val="10"/>
        <rFont val="Arial"/>
        <family val="2"/>
      </rPr>
      <t>b</t>
    </r>
  </si>
  <si>
    <t>Angle leg length, L2 =</t>
  </si>
  <si>
    <r>
      <t>A325-X</t>
    </r>
    <r>
      <rPr>
        <vertAlign val="superscript"/>
        <sz val="10"/>
        <rFont val="Arial"/>
        <family val="2"/>
      </rPr>
      <t>b</t>
    </r>
  </si>
  <si>
    <t>Bolt location dimension, X1 =</t>
  </si>
  <si>
    <r>
      <t>A490-N</t>
    </r>
    <r>
      <rPr>
        <vertAlign val="superscript"/>
        <sz val="10"/>
        <rFont val="Arial"/>
        <family val="2"/>
      </rPr>
      <t>b</t>
    </r>
  </si>
  <si>
    <t xml:space="preserve"> Bolt location dimension, X2 =</t>
  </si>
  <si>
    <r>
      <t>A490-X</t>
    </r>
    <r>
      <rPr>
        <vertAlign val="superscript"/>
        <sz val="10"/>
        <rFont val="Arial"/>
        <family val="2"/>
      </rPr>
      <t>c</t>
    </r>
  </si>
  <si>
    <t>Bolt location dimension, Y2 =</t>
  </si>
  <si>
    <t>A325-F</t>
  </si>
  <si>
    <t>Bolt location dimension, Y3 =</t>
  </si>
  <si>
    <t>A490-F</t>
  </si>
  <si>
    <t>Calculations</t>
  </si>
  <si>
    <t>Single Shear</t>
  </si>
  <si>
    <t>Plate tension per net area, Sptn =</t>
  </si>
  <si>
    <t>0.5 * Su</t>
  </si>
  <si>
    <t>Plate tension per gross area, Sptg =</t>
  </si>
  <si>
    <t>0.6 * Sy</t>
  </si>
  <si>
    <t>Spb1 =</t>
  </si>
  <si>
    <t>Su * X1 / (2 * D)</t>
  </si>
  <si>
    <t>Spb2 =</t>
  </si>
  <si>
    <t>(Su / 2) * ((Y3 / D) - 0.5)</t>
  </si>
  <si>
    <t>Spb3 =</t>
  </si>
  <si>
    <t>1.5 * Su</t>
  </si>
  <si>
    <t>Bolts</t>
  </si>
  <si>
    <t>Bolt double shear strength, Pbs =</t>
  </si>
  <si>
    <t>2 * N * Sbs * Pi * D^2 / 4</t>
  </si>
  <si>
    <t>Angles</t>
  </si>
  <si>
    <t>Two angles no holes, tension, Pat =</t>
  </si>
  <si>
    <t xml:space="preserve">2 * Sptg * (L1+L2-T2) * T2 </t>
  </si>
  <si>
    <t xml:space="preserve">Section area with no holes </t>
  </si>
  <si>
    <t>Bolt hole diameter, Dh =</t>
  </si>
  <si>
    <t>D + 1/8</t>
  </si>
  <si>
    <t>Two angles net tension area, Aan =</t>
  </si>
  <si>
    <t xml:space="preserve">2 * [((L1+L2-T2) * T2) - 2 * ((D+.125) * T2)] </t>
  </si>
  <si>
    <t>in^2</t>
  </si>
  <si>
    <t>Angle net area tension strength, Ppt =</t>
  </si>
  <si>
    <t>0.85 * Sptn * Agt</t>
  </si>
  <si>
    <t>85% effective strength</t>
  </si>
  <si>
    <t>Plate bearing strength, Ppb1 =</t>
  </si>
  <si>
    <t>N * Spb1 * T1 * D</t>
  </si>
  <si>
    <t>N bolt bearing strength-1</t>
  </si>
  <si>
    <t>Plate bearing strength, Ppb2 =</t>
  </si>
  <si>
    <t>N * Spb2 * T1 * D</t>
  </si>
  <si>
    <t>N bolt bearing strength-2</t>
  </si>
  <si>
    <t>Plate bearing strength, Ppb3 =</t>
  </si>
  <si>
    <t>N * Spb3 * T1 * D</t>
  </si>
  <si>
    <t>N bolt bearing strength-3</t>
  </si>
  <si>
    <t>Minimum failure load above, Pf =</t>
  </si>
  <si>
    <t>Applied load, Pa =</t>
  </si>
  <si>
    <t>Connection efficiency, e =</t>
  </si>
  <si>
    <t>Pf / Ppm</t>
  </si>
  <si>
    <t>Pa / Pf</t>
  </si>
  <si>
    <t>1. Find X when Y = 0 with Goal Seek.</t>
  </si>
  <si>
    <t>2*X^5 - 3*X^2 - 5</t>
  </si>
  <si>
    <t>Solution</t>
  </si>
  <si>
    <t>Select: Cell B7&gt;Tools &gt;Goal Seek&gt;</t>
  </si>
  <si>
    <t>2. Find X when Y = 0 with Solver.</t>
  </si>
  <si>
    <t>Select: Cell B26&gt;Tools &gt;Solver &gt;By Changing Cells&gt;B23&gt;Add&gt;B23&gt; (&gt;=) &gt;0</t>
  </si>
  <si>
    <t>SOLVER</t>
  </si>
  <si>
    <t xml:space="preserve">GOAL SEEK  </t>
  </si>
  <si>
    <t>Cell $B$4</t>
  </si>
  <si>
    <t>Cell $B$7</t>
  </si>
  <si>
    <t>Cell $B$23</t>
  </si>
  <si>
    <t>Cell $B$26</t>
  </si>
  <si>
    <t>This is the end of this spreadsheet</t>
  </si>
  <si>
    <t>SET x = L ABOVE FOR MAX MOMENT</t>
  </si>
  <si>
    <t>Minimum beam section modulus,  Sx =</t>
  </si>
  <si>
    <t>Effect of distributed load w only</t>
  </si>
  <si>
    <r>
      <t>Desired deflection at x</t>
    </r>
    <r>
      <rPr>
        <vertAlign val="subscript"/>
        <sz val="10"/>
        <rFont val="Arial"/>
        <family val="2"/>
      </rPr>
      <t>D</t>
    </r>
    <r>
      <rPr>
        <sz val="10"/>
        <rFont val="Arial"/>
        <family val="2"/>
      </rPr>
      <t xml:space="preserve"> if x &lt; a,  y1 =</t>
    </r>
  </si>
  <si>
    <t>Max Beam Deflection due to w only</t>
  </si>
  <si>
    <t>Load P location in inches, a =</t>
  </si>
  <si>
    <r>
      <t>Beam deflection at load point,  y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=</t>
    </r>
  </si>
  <si>
    <t>Beam deflection at: x &gt;= a,  ya =</t>
  </si>
  <si>
    <r>
      <t>R</t>
    </r>
    <r>
      <rPr>
        <vertAlign val="subscript"/>
        <sz val="10"/>
        <rFont val="Arial"/>
        <family val="2"/>
      </rPr>
      <t>L</t>
    </r>
    <r>
      <rPr>
        <sz val="10"/>
        <rFont val="Arial"/>
        <family val="2"/>
      </rPr>
      <t>*a</t>
    </r>
  </si>
  <si>
    <t>Moment at: x &gt;= a,  Mx =</t>
  </si>
  <si>
    <t>Use the AISC "Manual of Steel Construction to engineer beam connections.</t>
  </si>
  <si>
    <r>
      <t>Max beam deflection location of P,  x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 xml:space="preserve"> =</t>
    </r>
  </si>
  <si>
    <t>Design Safety Factor, SF =</t>
  </si>
  <si>
    <t>((2*P*a^3*b^2)/((3*E*I)*(3*a + b)^2))</t>
  </si>
  <si>
    <t>((P*a^2*b^3)/(12*E*I*L^3))*(3*L + a)</t>
  </si>
  <si>
    <t>((P*a)/(2*L^3))*(3*L^2 - a^2)</t>
  </si>
  <si>
    <r>
      <t>P - R</t>
    </r>
    <r>
      <rPr>
        <vertAlign val="subscript"/>
        <sz val="10"/>
        <rFont val="Arial"/>
        <family val="2"/>
      </rPr>
      <t>R</t>
    </r>
  </si>
  <si>
    <t>((P*b^2*x)/(12*E*I*L^3))*(3*L + a)</t>
  </si>
  <si>
    <t>(-w/12)*(3*a*L - 4*a^2)</t>
  </si>
  <si>
    <t>-(w/12)*L^2 / 8</t>
  </si>
  <si>
    <t>P + W - RL</t>
  </si>
  <si>
    <t>© Copy Write John Andrew P.E. 15 Aug 2010</t>
  </si>
  <si>
    <t>BEAM SPREADSHEET CALCULATIONS</t>
  </si>
  <si>
    <t xml:space="preserve">CASE-G FIXED ONE END OP END FREE TO DEFLECT BUT NOT ROTATE </t>
  </si>
  <si>
    <t>V</t>
  </si>
  <si>
    <r>
      <t>Right support force, R</t>
    </r>
    <r>
      <rPr>
        <vertAlign val="subscript"/>
        <sz val="10"/>
        <rFont val="Arial"/>
        <family val="2"/>
      </rPr>
      <t>R</t>
    </r>
    <r>
      <rPr>
        <sz val="10"/>
        <rFont val="Arial"/>
        <family val="2"/>
      </rPr>
      <t xml:space="preserve"> = R</t>
    </r>
    <r>
      <rPr>
        <vertAlign val="subscript"/>
        <sz val="10"/>
        <rFont val="Arial"/>
        <family val="2"/>
      </rPr>
      <t>L</t>
    </r>
    <r>
      <rPr>
        <sz val="10"/>
        <rFont val="Arial"/>
      </rPr>
      <t xml:space="preserve"> =</t>
    </r>
  </si>
  <si>
    <r>
      <t>R</t>
    </r>
    <r>
      <rPr>
        <vertAlign val="subscript"/>
        <sz val="10"/>
        <rFont val="Arial"/>
        <family val="2"/>
      </rPr>
      <t>L</t>
    </r>
    <r>
      <rPr>
        <sz val="10"/>
        <rFont val="Arial"/>
        <family val="2"/>
      </rPr>
      <t>*(L/2 - x)</t>
    </r>
  </si>
  <si>
    <t>Moment at x, Mx =</t>
  </si>
  <si>
    <r>
      <t>Moment at x = 0 or L,  M</t>
    </r>
    <r>
      <rPr>
        <vertAlign val="subscript"/>
        <sz val="10"/>
        <rFont val="Arial"/>
        <family val="2"/>
      </rPr>
      <t>R</t>
    </r>
    <r>
      <rPr>
        <sz val="10"/>
        <rFont val="Arial"/>
        <family val="2"/>
      </rPr>
      <t xml:space="preserve"> = M</t>
    </r>
    <r>
      <rPr>
        <vertAlign val="subscript"/>
        <sz val="10"/>
        <rFont val="Arial"/>
        <family val="2"/>
      </rPr>
      <t>L</t>
    </r>
    <r>
      <rPr>
        <sz val="10"/>
        <rFont val="Arial"/>
        <family val="2"/>
      </rPr>
      <t xml:space="preserve"> =</t>
    </r>
  </si>
  <si>
    <r>
      <t>R</t>
    </r>
    <r>
      <rPr>
        <vertAlign val="subscript"/>
        <sz val="10"/>
        <rFont val="Arial"/>
        <family val="2"/>
      </rPr>
      <t>L</t>
    </r>
    <r>
      <rPr>
        <sz val="10"/>
        <rFont val="Arial"/>
      </rPr>
      <t>*L / 2</t>
    </r>
  </si>
  <si>
    <r>
      <t>Load, R</t>
    </r>
    <r>
      <rPr>
        <vertAlign val="subscript"/>
        <sz val="10"/>
        <rFont val="Arial"/>
        <family val="2"/>
      </rPr>
      <t>L</t>
    </r>
    <r>
      <rPr>
        <sz val="10"/>
        <rFont val="Arial"/>
        <family val="2"/>
      </rPr>
      <t xml:space="preserve"> =</t>
    </r>
  </si>
  <si>
    <r>
      <t>Effect of load R</t>
    </r>
    <r>
      <rPr>
        <b/>
        <vertAlign val="subscript"/>
        <sz val="10"/>
        <rFont val="Arial"/>
        <family val="2"/>
      </rPr>
      <t>L</t>
    </r>
    <r>
      <rPr>
        <b/>
        <sz val="10"/>
        <rFont val="Arial"/>
        <family val="2"/>
      </rPr>
      <t xml:space="preserve"> only</t>
    </r>
  </si>
  <si>
    <r>
      <t>R</t>
    </r>
    <r>
      <rPr>
        <vertAlign val="subscript"/>
        <sz val="10"/>
        <rFont val="Arial"/>
        <family val="2"/>
      </rPr>
      <t>L</t>
    </r>
    <r>
      <rPr>
        <sz val="10"/>
        <rFont val="Arial"/>
        <family val="2"/>
      </rPr>
      <t>*(L-x)^2*(L + 2*x) / (12*E*I)</t>
    </r>
  </si>
  <si>
    <r>
      <t>R</t>
    </r>
    <r>
      <rPr>
        <vertAlign val="subscript"/>
        <sz val="10"/>
        <rFont val="Arial"/>
        <family val="2"/>
      </rPr>
      <t>L</t>
    </r>
    <r>
      <rPr>
        <sz val="10"/>
        <rFont val="Arial"/>
        <family val="2"/>
      </rPr>
      <t>*L^3 / (12*E*I*)</t>
    </r>
  </si>
  <si>
    <r>
      <t>Max beam deflection at x = 0,  y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 xml:space="preserve"> =</t>
    </r>
  </si>
  <si>
    <r>
      <t>Beam deflection at x,  y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 xml:space="preserve"> =</t>
    </r>
  </si>
  <si>
    <t>Excel Workbook - new version</t>
  </si>
  <si>
    <t xml:space="preserve">When using Excel's Goal Seek, unprotect the spread </t>
  </si>
  <si>
    <t xml:space="preserve">sheet by selecting: Drop down menu: Home &gt; Format &gt; </t>
  </si>
  <si>
    <t xml:space="preserve">Unprotect Sheet &gt; OK. When Excel's </t>
  </si>
  <si>
    <t>Goal Seek is not needed, restore protection with:</t>
  </si>
  <si>
    <t>Drop down menu: Format &gt; Protect Sheet.</t>
  </si>
  <si>
    <t>Excel-97  2003 - old version</t>
  </si>
  <si>
    <t xml:space="preserve">sheet by selecting: Drop down menu: Tools &gt; </t>
  </si>
  <si>
    <t xml:space="preserve">Protection &gt; Unprotect Sheet &gt; OK. When Excel's </t>
  </si>
  <si>
    <t>Step-2  Select: Data &gt; What-If Analysis &gt; Goal Seek</t>
  </si>
  <si>
    <t>GOAL SEEK METHOD-NEW</t>
  </si>
  <si>
    <t>GOAL SEEK METHOD-OLD</t>
  </si>
  <si>
    <t>Step-2  Select: Tools  &gt; Goal Seek</t>
  </si>
  <si>
    <t>Step-3  To value: 14000, for example</t>
  </si>
  <si>
    <t>Step-1  Select cell containg a formula: C26</t>
  </si>
  <si>
    <t>Step-4  Pick cell containing value to be changed by Excel:C22 &gt; OK</t>
  </si>
  <si>
    <t>Step-4  Pick cell containing value to be changed by Excel: C22 &gt; OK</t>
  </si>
  <si>
    <t>S239-BEAM SPREADSHEET CALCULATIONS</t>
  </si>
  <si>
    <t>5 PDH</t>
  </si>
  <si>
    <t>S239 BEAM SPREADSHEET CALCULATIONS</t>
  </si>
  <si>
    <t>http://www.linsgroup.com/MECHANICAL_DESIGN/Beam/beam_formula.htm</t>
  </si>
  <si>
    <r>
      <t>Support force at x = L, R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  <r>
      <rPr>
        <sz val="10"/>
        <rFont val="Arial"/>
      </rPr>
      <t>=</t>
    </r>
  </si>
  <si>
    <t>Shear,  Va2 =</t>
  </si>
  <si>
    <t>(P*a / (4*L^3))*(4*L^2 + b*(L + a))</t>
  </si>
  <si>
    <t>Ref:</t>
  </si>
  <si>
    <t>Shear,  Va1 =</t>
  </si>
  <si>
    <t>https://www.engineersedge.com/materials/aisc_structural_shapes/aisc_structural_shapes_viewer.htm</t>
  </si>
  <si>
    <t>http://www.scribd.com/doc/1023890/AISC-Properties-Viewer</t>
  </si>
  <si>
    <t>SCROLL TO  BOTTOM FOR:</t>
  </si>
  <si>
    <t>Load W =</t>
  </si>
  <si>
    <t>Beam Length L =</t>
  </si>
  <si>
    <t>W</t>
  </si>
  <si>
    <t xml:space="preserve">    W</t>
  </si>
  <si>
    <t xml:space="preserve">       R1</t>
  </si>
  <si>
    <t>R1 + R2 =</t>
  </si>
  <si>
    <t>X</t>
  </si>
  <si>
    <t>R2*L=</t>
  </si>
  <si>
    <t>W*X</t>
  </si>
  <si>
    <t>Load location X =</t>
  </si>
  <si>
    <t>R2 =</t>
  </si>
  <si>
    <t>W*X/L</t>
  </si>
  <si>
    <t>2000*20/100</t>
  </si>
  <si>
    <t>=2000*20/100</t>
  </si>
  <si>
    <t>R1=</t>
  </si>
  <si>
    <t>W-R2</t>
  </si>
  <si>
    <t>=2000-400</t>
  </si>
  <si>
    <t>Rev: Oct 24, 2022</t>
  </si>
  <si>
    <t>AISC Properites Viewer</t>
  </si>
  <si>
    <t xml:space="preserve">            L</t>
  </si>
  <si>
    <t>4. Data &gt; What If Analysis &gt; Goal Seek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</si>
</sst>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0"/>
    <numFmt numFmtId="167" formatCode="0.0000"/>
    <numFmt numFmtId="168" formatCode="0.000000"/>
  </numFmts>
  <fonts count="38">
    <font>
      <sz val="10"/>
      <name val="Arial"/>
    </font>
    <font>
      <sz val="10"/>
      <name val="Arial"/>
    </font>
    <font>
      <b/>
      <sz val="14"/>
      <color indexed="4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indexed="48"/>
      <name val="Arial"/>
      <family val="2"/>
    </font>
    <font>
      <vertAlign val="superscript"/>
      <sz val="10"/>
      <name val="Arial"/>
      <family val="2"/>
    </font>
    <font>
      <b/>
      <sz val="12"/>
      <color indexed="4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color indexed="48"/>
      <name val="Arial"/>
      <family val="2"/>
    </font>
    <font>
      <sz val="10"/>
      <name val="Arial"/>
      <family val="2"/>
    </font>
    <font>
      <b/>
      <sz val="10"/>
      <color indexed="48"/>
      <name val="Arial"/>
      <family val="2"/>
    </font>
    <font>
      <b/>
      <vertAlign val="superscript"/>
      <sz val="10"/>
      <name val="Arial"/>
      <family val="2"/>
    </font>
    <font>
      <b/>
      <sz val="14"/>
      <name val="Arial"/>
      <family val="2"/>
    </font>
    <font>
      <b/>
      <sz val="14"/>
      <name val="Arial"/>
      <family val="2"/>
    </font>
    <font>
      <b/>
      <vertAlign val="subscript"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4"/>
      <color rgb="FF3366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372">
    <xf numFmtId="0" fontId="0" fillId="0" borderId="0" xfId="0"/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164" fontId="3" fillId="2" borderId="1" xfId="0" applyNumberFormat="1" applyFont="1" applyFill="1" applyBorder="1" applyAlignment="1" applyProtection="1">
      <alignment horizontal="left"/>
      <protection locked="0"/>
    </xf>
    <xf numFmtId="164" fontId="3" fillId="3" borderId="1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right"/>
    </xf>
    <xf numFmtId="164" fontId="3" fillId="4" borderId="1" xfId="0" applyNumberFormat="1" applyFont="1" applyFill="1" applyBorder="1" applyAlignment="1" applyProtection="1">
      <alignment horizontal="left"/>
      <protection locked="0"/>
    </xf>
    <xf numFmtId="0" fontId="3" fillId="0" borderId="0" xfId="0" applyFont="1"/>
    <xf numFmtId="2" fontId="3" fillId="0" borderId="0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9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quotePrefix="1" applyFont="1" applyAlignment="1">
      <alignment horizontal="right"/>
    </xf>
    <xf numFmtId="0" fontId="12" fillId="0" borderId="0" xfId="0" applyFont="1" applyBorder="1"/>
    <xf numFmtId="0" fontId="10" fillId="0" borderId="0" xfId="0" applyFont="1" applyAlignment="1">
      <alignment horizontal="right"/>
    </xf>
    <xf numFmtId="0" fontId="10" fillId="0" borderId="0" xfId="0" applyFont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10" fillId="0" borderId="0" xfId="0" applyFont="1" applyBorder="1"/>
    <xf numFmtId="1" fontId="10" fillId="0" borderId="0" xfId="0" applyNumberFormat="1" applyFont="1" applyAlignment="1">
      <alignment horizontal="left"/>
    </xf>
    <xf numFmtId="2" fontId="10" fillId="0" borderId="3" xfId="0" applyNumberFormat="1" applyFont="1" applyBorder="1" applyAlignment="1">
      <alignment horizontal="left"/>
    </xf>
    <xf numFmtId="0" fontId="10" fillId="0" borderId="3" xfId="0" applyFont="1" applyBorder="1"/>
    <xf numFmtId="0" fontId="10" fillId="5" borderId="0" xfId="0" applyFont="1" applyFill="1"/>
    <xf numFmtId="2" fontId="10" fillId="0" borderId="0" xfId="0" applyNumberFormat="1" applyFont="1" applyAlignment="1">
      <alignment horizontal="left"/>
    </xf>
    <xf numFmtId="165" fontId="10" fillId="0" borderId="3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5" borderId="0" xfId="0" applyFont="1" applyFill="1" applyAlignment="1">
      <alignment horizontal="left"/>
    </xf>
    <xf numFmtId="1" fontId="10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Fill="1" applyBorder="1" applyAlignment="1">
      <alignment horizontal="right"/>
    </xf>
    <xf numFmtId="0" fontId="10" fillId="0" borderId="0" xfId="0" quotePrefix="1" applyFont="1" applyAlignment="1">
      <alignment horizontal="left"/>
    </xf>
    <xf numFmtId="165" fontId="10" fillId="0" borderId="0" xfId="0" applyNumberFormat="1" applyFont="1" applyAlignment="1">
      <alignment horizontal="left"/>
    </xf>
    <xf numFmtId="0" fontId="14" fillId="0" borderId="0" xfId="0" applyFont="1" applyAlignment="1">
      <alignment horizontal="right"/>
    </xf>
    <xf numFmtId="166" fontId="10" fillId="0" borderId="0" xfId="0" applyNumberFormat="1" applyFont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5" fillId="0" borderId="0" xfId="0" applyFont="1"/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left"/>
    </xf>
    <xf numFmtId="0" fontId="10" fillId="0" borderId="4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4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0" fillId="5" borderId="0" xfId="0" applyFont="1" applyFill="1" applyAlignment="1">
      <alignment horizontal="right"/>
    </xf>
    <xf numFmtId="0" fontId="3" fillId="0" borderId="3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0" fontId="10" fillId="0" borderId="3" xfId="0" applyFont="1" applyBorder="1" applyAlignment="1" applyProtection="1">
      <alignment horizontal="right"/>
      <protection locked="0"/>
    </xf>
    <xf numFmtId="165" fontId="10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9" fillId="0" borderId="0" xfId="0" applyFont="1"/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4" fillId="0" borderId="0" xfId="0" applyFont="1"/>
    <xf numFmtId="0" fontId="18" fillId="0" borderId="0" xfId="0" applyFont="1" applyAlignment="1">
      <alignment horizontal="left"/>
    </xf>
    <xf numFmtId="0" fontId="12" fillId="0" borderId="5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/>
    <xf numFmtId="1" fontId="0" fillId="0" borderId="0" xfId="0" applyNumberForma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Border="1"/>
    <xf numFmtId="2" fontId="14" fillId="0" borderId="0" xfId="0" applyNumberFormat="1" applyFont="1" applyAlignment="1">
      <alignment horizontal="left"/>
    </xf>
    <xf numFmtId="1" fontId="14" fillId="0" borderId="0" xfId="0" applyNumberFormat="1" applyFont="1" applyAlignment="1">
      <alignment horizontal="left"/>
    </xf>
    <xf numFmtId="167" fontId="14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0" fontId="10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11" fillId="0" borderId="0" xfId="0" applyFont="1" applyFill="1" applyAlignment="1">
      <alignment horizontal="left"/>
    </xf>
    <xf numFmtId="165" fontId="10" fillId="0" borderId="0" xfId="0" applyNumberFormat="1" applyFont="1" applyFill="1" applyAlignment="1">
      <alignment horizontal="left"/>
    </xf>
    <xf numFmtId="0" fontId="14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10" fillId="0" borderId="0" xfId="0" quotePrefix="1" applyFont="1" applyFill="1" applyAlignment="1">
      <alignment horizontal="left"/>
    </xf>
    <xf numFmtId="165" fontId="10" fillId="0" borderId="0" xfId="0" applyNumberFormat="1" applyFont="1" applyFill="1" applyAlignment="1">
      <alignment horizontal="center"/>
    </xf>
    <xf numFmtId="0" fontId="0" fillId="0" borderId="0" xfId="0" applyFill="1"/>
    <xf numFmtId="0" fontId="10" fillId="0" borderId="0" xfId="0" applyFont="1" applyBorder="1" applyAlignment="1">
      <alignment horizontal="center"/>
    </xf>
    <xf numFmtId="0" fontId="12" fillId="0" borderId="0" xfId="0" applyFont="1" applyFill="1" applyBorder="1"/>
    <xf numFmtId="0" fontId="10" fillId="0" borderId="0" xfId="0" applyFont="1" applyFill="1" applyBorder="1" applyAlignment="1" applyProtection="1">
      <alignment horizontal="left"/>
      <protection locked="0"/>
    </xf>
    <xf numFmtId="165" fontId="14" fillId="0" borderId="0" xfId="0" applyNumberFormat="1" applyFont="1" applyAlignment="1">
      <alignment horizontal="left"/>
    </xf>
    <xf numFmtId="2" fontId="10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/>
    </xf>
    <xf numFmtId="0" fontId="21" fillId="0" borderId="0" xfId="0" applyFont="1"/>
    <xf numFmtId="0" fontId="14" fillId="0" borderId="0" xfId="0" quotePrefix="1" applyFont="1" applyAlignment="1">
      <alignment horizontal="left"/>
    </xf>
    <xf numFmtId="0" fontId="22" fillId="0" borderId="0" xfId="0" applyFont="1" applyAlignment="1">
      <alignment horizontal="left"/>
    </xf>
    <xf numFmtId="0" fontId="9" fillId="0" borderId="0" xfId="0" applyFont="1" applyBorder="1"/>
    <xf numFmtId="0" fontId="20" fillId="0" borderId="0" xfId="0" applyFont="1" applyBorder="1"/>
    <xf numFmtId="0" fontId="9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10" fillId="0" borderId="4" xfId="0" applyFont="1" applyBorder="1"/>
    <xf numFmtId="0" fontId="10" fillId="0" borderId="5" xfId="0" applyFont="1" applyBorder="1"/>
    <xf numFmtId="0" fontId="3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0" fontId="14" fillId="0" borderId="0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26" fillId="0" borderId="0" xfId="0" applyFont="1"/>
    <xf numFmtId="0" fontId="25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Fill="1" applyAlignment="1" applyProtection="1">
      <alignment horizontal="right"/>
      <protection locked="0"/>
    </xf>
    <xf numFmtId="0" fontId="10" fillId="0" borderId="0" xfId="0" applyFont="1" applyFill="1" applyAlignment="1" applyProtection="1">
      <alignment horizontal="left"/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Protection="1">
      <protection locked="0"/>
    </xf>
    <xf numFmtId="0" fontId="10" fillId="0" borderId="0" xfId="0" quotePrefix="1" applyFont="1" applyBorder="1" applyAlignment="1" applyProtection="1">
      <alignment horizontal="right"/>
      <protection locked="0"/>
    </xf>
    <xf numFmtId="1" fontId="10" fillId="0" borderId="0" xfId="0" applyNumberFormat="1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2" fontId="10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15" fillId="0" borderId="0" xfId="0" applyFont="1" applyBorder="1" applyProtection="1"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 applyProtection="1">
      <alignment horizontal="right"/>
      <protection locked="0"/>
    </xf>
    <xf numFmtId="0" fontId="10" fillId="0" borderId="0" xfId="0" quotePrefix="1" applyFont="1" applyFill="1" applyBorder="1" applyAlignment="1" applyProtection="1">
      <alignment horizontal="right"/>
      <protection locked="0"/>
    </xf>
    <xf numFmtId="1" fontId="10" fillId="0" borderId="0" xfId="0" applyNumberFormat="1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1" fontId="14" fillId="0" borderId="0" xfId="0" applyNumberFormat="1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2" fontId="14" fillId="0" borderId="0" xfId="0" applyNumberFormat="1" applyFont="1" applyFill="1" applyBorder="1" applyAlignment="1" applyProtection="1">
      <alignment horizontal="left"/>
      <protection locked="0"/>
    </xf>
    <xf numFmtId="167" fontId="14" fillId="0" borderId="0" xfId="0" applyNumberFormat="1" applyFont="1" applyFill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quotePrefix="1" applyFont="1" applyAlignment="1" applyProtection="1">
      <alignment horizontal="right"/>
      <protection locked="0"/>
    </xf>
    <xf numFmtId="0" fontId="0" fillId="0" borderId="1" xfId="0" applyBorder="1" applyAlignment="1" applyProtection="1">
      <alignment horizontal="left"/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3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24" fillId="0" borderId="0" xfId="1" applyBorder="1" applyAlignment="1" applyProtection="1">
      <alignment wrapText="1"/>
      <protection locked="0"/>
    </xf>
    <xf numFmtId="165" fontId="10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5" borderId="0" xfId="0" applyFont="1" applyFill="1"/>
    <xf numFmtId="0" fontId="5" fillId="0" borderId="0" xfId="0" applyFont="1" applyAlignment="1">
      <alignment horizontal="center"/>
    </xf>
    <xf numFmtId="0" fontId="14" fillId="0" borderId="0" xfId="0" quotePrefix="1" applyFont="1" applyAlignment="1">
      <alignment horizontal="right"/>
    </xf>
    <xf numFmtId="2" fontId="14" fillId="0" borderId="3" xfId="0" applyNumberFormat="1" applyFont="1" applyBorder="1" applyAlignment="1">
      <alignment horizontal="left"/>
    </xf>
    <xf numFmtId="0" fontId="14" fillId="0" borderId="3" xfId="0" applyFont="1" applyBorder="1"/>
    <xf numFmtId="0" fontId="10" fillId="3" borderId="1" xfId="0" applyFont="1" applyFill="1" applyBorder="1" applyAlignment="1" applyProtection="1">
      <alignment horizontal="center"/>
      <protection locked="0"/>
    </xf>
    <xf numFmtId="0" fontId="15" fillId="0" borderId="12" xfId="0" applyFont="1" applyBorder="1"/>
    <xf numFmtId="0" fontId="14" fillId="0" borderId="4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4" fillId="0" borderId="0" xfId="0" applyFont="1" applyBorder="1"/>
    <xf numFmtId="0" fontId="3" fillId="0" borderId="0" xfId="0" applyFont="1" applyBorder="1" applyAlignment="1">
      <alignment horizontal="right"/>
    </xf>
    <xf numFmtId="167" fontId="10" fillId="0" borderId="0" xfId="0" applyNumberFormat="1" applyFont="1" applyAlignment="1">
      <alignment horizontal="left"/>
    </xf>
    <xf numFmtId="0" fontId="14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2" fontId="0" fillId="0" borderId="7" xfId="0" applyNumberFormat="1" applyBorder="1" applyProtection="1">
      <protection locked="0"/>
    </xf>
    <xf numFmtId="0" fontId="0" fillId="0" borderId="9" xfId="0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0" fontId="27" fillId="0" borderId="0" xfId="0" applyFont="1" applyAlignment="1">
      <alignment horizontal="left"/>
    </xf>
    <xf numFmtId="0" fontId="5" fillId="0" borderId="0" xfId="0" applyFont="1"/>
    <xf numFmtId="165" fontId="1" fillId="0" borderId="3" xfId="0" applyNumberFormat="1" applyFont="1" applyBorder="1" applyAlignment="1">
      <alignment horizontal="left"/>
    </xf>
    <xf numFmtId="0" fontId="1" fillId="0" borderId="3" xfId="0" applyFont="1" applyBorder="1"/>
    <xf numFmtId="166" fontId="0" fillId="0" borderId="0" xfId="0" applyNumberFormat="1" applyAlignment="1">
      <alignment horizontal="left"/>
    </xf>
    <xf numFmtId="0" fontId="14" fillId="0" borderId="4" xfId="0" applyFont="1" applyBorder="1" applyProtection="1">
      <protection locked="0"/>
    </xf>
    <xf numFmtId="0" fontId="14" fillId="0" borderId="6" xfId="0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4" fillId="0" borderId="0" xfId="0" applyFont="1" applyFill="1"/>
    <xf numFmtId="0" fontId="5" fillId="0" borderId="0" xfId="0" applyFont="1" applyFill="1"/>
    <xf numFmtId="0" fontId="5" fillId="0" borderId="0" xfId="0" applyFon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15" fillId="0" borderId="0" xfId="0" applyFont="1" applyAlignment="1">
      <alignment horizontal="left"/>
    </xf>
    <xf numFmtId="2" fontId="3" fillId="0" borderId="0" xfId="0" applyNumberFormat="1" applyFont="1" applyFill="1" applyBorder="1" applyAlignment="1">
      <alignment horizontal="center"/>
    </xf>
    <xf numFmtId="0" fontId="0" fillId="0" borderId="0" xfId="0" quotePrefix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center"/>
    </xf>
    <xf numFmtId="168" fontId="3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2" fontId="3" fillId="0" borderId="0" xfId="0" applyNumberFormat="1" applyFont="1" applyFill="1" applyBorder="1" applyAlignment="1" applyProtection="1">
      <alignment horizontal="left"/>
      <protection locked="0"/>
    </xf>
    <xf numFmtId="167" fontId="3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 applyProtection="1">
      <alignment horizontal="center"/>
      <protection locked="0"/>
    </xf>
    <xf numFmtId="2" fontId="3" fillId="0" borderId="0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5" xfId="0" applyBorder="1" applyAlignment="1" applyProtection="1">
      <alignment horizontal="left"/>
      <protection locked="0"/>
    </xf>
    <xf numFmtId="0" fontId="3" fillId="0" borderId="15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5" xfId="0" applyNumberFormat="1" applyBorder="1" applyAlignment="1" applyProtection="1">
      <alignment horizontal="left"/>
      <protection locked="0"/>
    </xf>
    <xf numFmtId="2" fontId="0" fillId="0" borderId="3" xfId="0" applyNumberFormat="1" applyBorder="1" applyAlignment="1">
      <alignment horizontal="center"/>
    </xf>
    <xf numFmtId="165" fontId="0" fillId="0" borderId="6" xfId="0" applyNumberFormat="1" applyBorder="1" applyAlignment="1" applyProtection="1">
      <alignment horizontal="left"/>
      <protection locked="0"/>
    </xf>
    <xf numFmtId="0" fontId="0" fillId="0" borderId="3" xfId="0" applyBorder="1" applyAlignment="1">
      <alignment horizontal="center"/>
    </xf>
    <xf numFmtId="2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right"/>
    </xf>
    <xf numFmtId="164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0" fillId="0" borderId="0" xfId="0" quotePrefix="1" applyAlignment="1">
      <alignment horizontal="right"/>
    </xf>
    <xf numFmtId="2" fontId="14" fillId="0" borderId="4" xfId="0" applyNumberFormat="1" applyFont="1" applyBorder="1" applyAlignment="1" applyProtection="1">
      <alignment horizontal="left"/>
      <protection locked="0"/>
    </xf>
    <xf numFmtId="1" fontId="0" fillId="0" borderId="6" xfId="0" applyNumberFormat="1" applyBorder="1" applyAlignment="1" applyProtection="1">
      <alignment horizontal="left"/>
      <protection locked="0"/>
    </xf>
    <xf numFmtId="9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/>
    <xf numFmtId="0" fontId="9" fillId="0" borderId="0" xfId="0" applyFont="1" applyAlignment="1">
      <alignment horizontal="left"/>
    </xf>
    <xf numFmtId="0" fontId="29" fillId="0" borderId="0" xfId="0" applyFont="1"/>
    <xf numFmtId="0" fontId="30" fillId="0" borderId="0" xfId="0" applyFont="1" applyAlignment="1">
      <alignment horizontal="left"/>
    </xf>
    <xf numFmtId="0" fontId="3" fillId="0" borderId="0" xfId="0" applyFont="1" applyBorder="1" applyAlignment="1" applyProtection="1">
      <alignment horizontal="center"/>
      <protection locked="0"/>
    </xf>
    <xf numFmtId="2" fontId="0" fillId="0" borderId="0" xfId="0" applyNumberFormat="1" applyBorder="1" applyProtection="1">
      <protection locked="0"/>
    </xf>
    <xf numFmtId="164" fontId="9" fillId="0" borderId="1" xfId="0" applyNumberFormat="1" applyFont="1" applyBorder="1" applyAlignment="1" applyProtection="1">
      <alignment horizontal="center"/>
      <protection locked="0"/>
    </xf>
    <xf numFmtId="167" fontId="9" fillId="0" borderId="1" xfId="0" applyNumberFormat="1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right"/>
      <protection locked="0"/>
    </xf>
    <xf numFmtId="0" fontId="14" fillId="0" borderId="0" xfId="0" applyFont="1" applyBorder="1" applyProtection="1">
      <protection locked="0"/>
    </xf>
    <xf numFmtId="0" fontId="5" fillId="0" borderId="0" xfId="0" applyFont="1" applyProtection="1">
      <protection locked="0"/>
    </xf>
    <xf numFmtId="2" fontId="10" fillId="0" borderId="5" xfId="0" applyNumberFormat="1" applyFont="1" applyBorder="1" applyAlignment="1" applyProtection="1">
      <alignment horizontal="left"/>
      <protection locked="0"/>
    </xf>
    <xf numFmtId="2" fontId="9" fillId="0" borderId="0" xfId="0" applyNumberFormat="1" applyFont="1" applyBorder="1" applyAlignment="1" applyProtection="1">
      <alignment horizontal="center"/>
      <protection locked="0"/>
    </xf>
    <xf numFmtId="2" fontId="10" fillId="0" borderId="0" xfId="0" applyNumberFormat="1" applyFont="1" applyAlignment="1" applyProtection="1">
      <alignment horizontal="center"/>
      <protection locked="0"/>
    </xf>
    <xf numFmtId="2" fontId="10" fillId="0" borderId="0" xfId="0" applyNumberFormat="1" applyFont="1" applyProtection="1">
      <protection locked="0"/>
    </xf>
    <xf numFmtId="2" fontId="10" fillId="0" borderId="0" xfId="0" applyNumberFormat="1" applyFont="1" applyBorder="1" applyAlignment="1" applyProtection="1">
      <alignment horizontal="center"/>
      <protection locked="0"/>
    </xf>
    <xf numFmtId="2" fontId="10" fillId="0" borderId="0" xfId="0" applyNumberFormat="1" applyFont="1" applyFill="1" applyBorder="1" applyProtection="1">
      <protection locked="0"/>
    </xf>
    <xf numFmtId="2" fontId="9" fillId="0" borderId="0" xfId="0" applyNumberFormat="1" applyFont="1" applyFill="1" applyBorder="1" applyAlignment="1" applyProtection="1">
      <alignment horizontal="center"/>
      <protection locked="0"/>
    </xf>
    <xf numFmtId="2" fontId="10" fillId="0" borderId="0" xfId="0" applyNumberFormat="1" applyFont="1" applyFill="1" applyBorder="1" applyAlignment="1" applyProtection="1">
      <alignment horizontal="center"/>
      <protection locked="0"/>
    </xf>
    <xf numFmtId="2" fontId="12" fillId="0" borderId="0" xfId="0" applyNumberFormat="1" applyFont="1" applyFill="1" applyBorder="1" applyProtection="1">
      <protection locked="0"/>
    </xf>
    <xf numFmtId="2" fontId="3" fillId="0" borderId="0" xfId="0" applyNumberFormat="1" applyFont="1" applyFill="1" applyBorder="1" applyAlignment="1" applyProtection="1">
      <alignment horizontal="right"/>
      <protection locked="0"/>
    </xf>
    <xf numFmtId="2" fontId="11" fillId="0" borderId="0" xfId="0" applyNumberFormat="1" applyFont="1" applyFill="1" applyBorder="1" applyAlignment="1" applyProtection="1">
      <alignment horizontal="left"/>
      <protection locked="0"/>
    </xf>
    <xf numFmtId="2" fontId="10" fillId="0" borderId="0" xfId="0" applyNumberFormat="1" applyFont="1" applyFill="1" applyBorder="1" applyAlignment="1" applyProtection="1">
      <alignment horizontal="right"/>
      <protection locked="0"/>
    </xf>
    <xf numFmtId="2" fontId="10" fillId="0" borderId="0" xfId="0" applyNumberFormat="1" applyFont="1" applyFill="1" applyBorder="1" applyAlignment="1" applyProtection="1">
      <alignment horizontal="left"/>
      <protection locked="0"/>
    </xf>
    <xf numFmtId="2" fontId="10" fillId="0" borderId="0" xfId="0" quotePrefix="1" applyNumberFormat="1" applyFont="1" applyFill="1" applyBorder="1" applyAlignment="1" applyProtection="1">
      <alignment horizontal="right"/>
      <protection locked="0"/>
    </xf>
    <xf numFmtId="2" fontId="14" fillId="0" borderId="0" xfId="0" applyNumberFormat="1" applyFont="1" applyFill="1" applyBorder="1" applyAlignment="1" applyProtection="1">
      <alignment horizontal="center"/>
      <protection locked="0"/>
    </xf>
    <xf numFmtId="2" fontId="14" fillId="0" borderId="0" xfId="0" applyNumberFormat="1" applyFont="1" applyFill="1" applyBorder="1" applyAlignment="1" applyProtection="1">
      <alignment horizontal="right"/>
      <protection locked="0"/>
    </xf>
    <xf numFmtId="2" fontId="9" fillId="0" borderId="0" xfId="0" applyNumberFormat="1" applyFont="1" applyFill="1" applyBorder="1" applyAlignment="1" applyProtection="1">
      <alignment horizontal="right"/>
      <protection locked="0"/>
    </xf>
    <xf numFmtId="2" fontId="10" fillId="0" borderId="0" xfId="0" quotePrefix="1" applyNumberFormat="1" applyFont="1" applyFill="1" applyBorder="1" applyAlignment="1" applyProtection="1">
      <alignment horizontal="left"/>
      <protection locked="0"/>
    </xf>
    <xf numFmtId="2" fontId="0" fillId="0" borderId="0" xfId="0" applyNumberFormat="1" applyFill="1" applyBorder="1" applyProtection="1">
      <protection locked="0"/>
    </xf>
    <xf numFmtId="2" fontId="10" fillId="0" borderId="0" xfId="0" applyNumberFormat="1" applyFont="1" applyFill="1" applyProtection="1">
      <protection locked="0"/>
    </xf>
    <xf numFmtId="2" fontId="9" fillId="0" borderId="0" xfId="0" applyNumberFormat="1" applyFont="1" applyAlignment="1" applyProtection="1">
      <alignment horizontal="center"/>
      <protection locked="0"/>
    </xf>
    <xf numFmtId="0" fontId="0" fillId="0" borderId="9" xfId="0" applyBorder="1" applyAlignment="1" applyProtection="1">
      <alignment horizontal="right"/>
    </xf>
    <xf numFmtId="0" fontId="0" fillId="0" borderId="4" xfId="0" applyBorder="1" applyProtection="1"/>
    <xf numFmtId="2" fontId="0" fillId="0" borderId="4" xfId="0" applyNumberFormat="1" applyBorder="1" applyProtection="1"/>
    <xf numFmtId="0" fontId="0" fillId="0" borderId="13" xfId="0" applyBorder="1" applyAlignment="1" applyProtection="1">
      <alignment horizontal="right"/>
    </xf>
    <xf numFmtId="0" fontId="0" fillId="0" borderId="5" xfId="0" applyBorder="1" applyProtection="1"/>
    <xf numFmtId="2" fontId="0" fillId="0" borderId="5" xfId="0" applyNumberFormat="1" applyBorder="1" applyProtection="1"/>
    <xf numFmtId="164" fontId="0" fillId="0" borderId="5" xfId="0" applyNumberFormat="1" applyBorder="1" applyProtection="1"/>
    <xf numFmtId="0" fontId="0" fillId="0" borderId="10" xfId="0" applyBorder="1" applyAlignment="1" applyProtection="1">
      <alignment horizontal="right"/>
    </xf>
    <xf numFmtId="0" fontId="0" fillId="0" borderId="6" xfId="0" applyBorder="1" applyProtection="1"/>
    <xf numFmtId="0" fontId="0" fillId="0" borderId="0" xfId="0" applyProtection="1"/>
    <xf numFmtId="0" fontId="3" fillId="0" borderId="9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3" fillId="0" borderId="13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right"/>
    </xf>
    <xf numFmtId="0" fontId="3" fillId="0" borderId="13" xfId="0" applyFont="1" applyBorder="1" applyAlignment="1" applyProtection="1">
      <alignment horizontal="right"/>
    </xf>
    <xf numFmtId="0" fontId="3" fillId="0" borderId="10" xfId="0" applyFont="1" applyBorder="1" applyAlignment="1" applyProtection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left"/>
    </xf>
    <xf numFmtId="0" fontId="14" fillId="0" borderId="0" xfId="0" applyFont="1" applyProtection="1">
      <protection locked="0"/>
    </xf>
    <xf numFmtId="1" fontId="10" fillId="0" borderId="0" xfId="0" applyNumberFormat="1" applyFont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1" fontId="14" fillId="0" borderId="0" xfId="0" applyNumberFormat="1" applyFont="1" applyAlignment="1" applyProtection="1">
      <alignment horizontal="center"/>
      <protection locked="0"/>
    </xf>
    <xf numFmtId="2" fontId="0" fillId="0" borderId="14" xfId="0" applyNumberFormat="1" applyBorder="1" applyProtection="1"/>
    <xf numFmtId="164" fontId="0" fillId="0" borderId="14" xfId="0" applyNumberFormat="1" applyBorder="1" applyProtection="1"/>
    <xf numFmtId="0" fontId="0" fillId="0" borderId="14" xfId="0" applyBorder="1" applyProtection="1"/>
    <xf numFmtId="0" fontId="0" fillId="0" borderId="8" xfId="0" applyBorder="1" applyProtection="1"/>
    <xf numFmtId="2" fontId="14" fillId="0" borderId="6" xfId="0" applyNumberFormat="1" applyFont="1" applyBorder="1" applyAlignment="1" applyProtection="1">
      <alignment horizontal="left"/>
      <protection locked="0"/>
    </xf>
    <xf numFmtId="2" fontId="0" fillId="0" borderId="0" xfId="0" applyNumberFormat="1" applyBorder="1" applyAlignment="1" applyProtection="1">
      <alignment horizontal="left"/>
      <protection locked="0"/>
    </xf>
    <xf numFmtId="2" fontId="14" fillId="0" borderId="0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left"/>
    </xf>
    <xf numFmtId="0" fontId="8" fillId="0" borderId="0" xfId="0" applyFont="1" applyProtection="1">
      <protection locked="0"/>
    </xf>
    <xf numFmtId="1" fontId="10" fillId="0" borderId="5" xfId="0" applyNumberFormat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0" fontId="10" fillId="0" borderId="5" xfId="0" applyFont="1" applyFill="1" applyBorder="1" applyAlignment="1" applyProtection="1">
      <alignment horizontal="left"/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8" fillId="0" borderId="0" xfId="0" applyFont="1"/>
    <xf numFmtId="0" fontId="17" fillId="0" borderId="0" xfId="0" applyFont="1" applyFill="1" applyBorder="1"/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0" fontId="12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1" fontId="12" fillId="0" borderId="0" xfId="0" applyNumberFormat="1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33" fillId="0" borderId="0" xfId="0" applyFont="1"/>
    <xf numFmtId="0" fontId="34" fillId="0" borderId="0" xfId="0" applyFont="1"/>
    <xf numFmtId="0" fontId="18" fillId="0" borderId="0" xfId="0" applyFont="1" applyBorder="1"/>
    <xf numFmtId="0" fontId="8" fillId="0" borderId="0" xfId="0" applyFont="1" applyAlignment="1">
      <alignment horizontal="right"/>
    </xf>
    <xf numFmtId="1" fontId="8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left"/>
    </xf>
    <xf numFmtId="0" fontId="35" fillId="0" borderId="0" xfId="0" applyFont="1" applyProtection="1"/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Protection="1"/>
    <xf numFmtId="0" fontId="3" fillId="0" borderId="0" xfId="0" applyFont="1" applyProtection="1"/>
    <xf numFmtId="0" fontId="32" fillId="0" borderId="0" xfId="0" applyFont="1" applyAlignment="1" applyProtection="1">
      <alignment horizontal="left"/>
    </xf>
    <xf numFmtId="2" fontId="10" fillId="0" borderId="1" xfId="0" applyNumberFormat="1" applyFont="1" applyBorder="1" applyAlignment="1" applyProtection="1">
      <alignment horizontal="left"/>
      <protection locked="0"/>
    </xf>
    <xf numFmtId="1" fontId="10" fillId="0" borderId="4" xfId="0" applyNumberFormat="1" applyFont="1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0" fontId="0" fillId="0" borderId="12" xfId="0" applyBorder="1" applyProtection="1">
      <protection locked="0"/>
    </xf>
    <xf numFmtId="0" fontId="24" fillId="0" borderId="2" xfId="1" applyBorder="1" applyAlignment="1" applyProtection="1">
      <alignment horizontal="left"/>
      <protection locked="0"/>
    </xf>
    <xf numFmtId="0" fontId="8" fillId="0" borderId="0" xfId="0" quotePrefix="1" applyFont="1" applyAlignment="1">
      <alignment horizontal="left"/>
    </xf>
    <xf numFmtId="1" fontId="8" fillId="0" borderId="0" xfId="0" quotePrefix="1" applyNumberFormat="1" applyFont="1" applyAlignment="1">
      <alignment horizontal="left"/>
    </xf>
    <xf numFmtId="0" fontId="8" fillId="0" borderId="0" xfId="0" applyFont="1" applyBorder="1" applyAlignment="1">
      <alignment horizontal="left" vertical="center"/>
    </xf>
    <xf numFmtId="1" fontId="10" fillId="0" borderId="0" xfId="0" applyNumberFormat="1" applyFont="1" applyAlignment="1" applyProtection="1">
      <alignment horizontal="left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/>
    </xf>
    <xf numFmtId="2" fontId="10" fillId="0" borderId="0" xfId="0" applyNumberFormat="1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37" fillId="0" borderId="0" xfId="0" applyFont="1" applyAlignment="1" applyProtection="1">
      <alignment horizontal="left" vertical="center" readingOrder="1"/>
    </xf>
    <xf numFmtId="0" fontId="8" fillId="0" borderId="0" xfId="0" applyFont="1" applyProtection="1"/>
    <xf numFmtId="0" fontId="8" fillId="0" borderId="0" xfId="0" applyFont="1" applyFill="1" applyBorder="1" applyAlignment="1">
      <alignment horizontal="right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left"/>
      <protection locked="0"/>
    </xf>
    <xf numFmtId="164" fontId="8" fillId="6" borderId="0" xfId="0" applyNumberFormat="1" applyFont="1" applyFill="1" applyBorder="1" applyAlignment="1" applyProtection="1">
      <alignment horizontal="left"/>
      <protection locked="0"/>
    </xf>
    <xf numFmtId="0" fontId="8" fillId="0" borderId="0" xfId="0" quotePrefix="1" applyFont="1" applyProtection="1">
      <protection locked="0"/>
    </xf>
    <xf numFmtId="0" fontId="8" fillId="0" borderId="0" xfId="0" applyFont="1" applyBorder="1" applyProtection="1">
      <protection locked="0"/>
    </xf>
    <xf numFmtId="0" fontId="36" fillId="0" borderId="0" xfId="0" applyFont="1" applyBorder="1" applyAlignment="1" applyProtection="1">
      <alignment horizontal="left" vertical="center" readingOrder="1"/>
      <protection locked="0"/>
    </xf>
    <xf numFmtId="0" fontId="23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wrapText="1"/>
    </xf>
    <xf numFmtId="0" fontId="0" fillId="0" borderId="0" xfId="0" applyBorder="1" applyAlignment="1" applyProtection="1">
      <alignment horizontal="center" wrapText="1"/>
    </xf>
    <xf numFmtId="0" fontId="0" fillId="0" borderId="0" xfId="0" applyBorder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eg"/><Relationship Id="rId2" Type="http://schemas.openxmlformats.org/officeDocument/2006/relationships/image" Target="../media/image17.jpeg"/><Relationship Id="rId1" Type="http://schemas.openxmlformats.org/officeDocument/2006/relationships/image" Target="../media/image16.jpeg"/><Relationship Id="rId4" Type="http://schemas.openxmlformats.org/officeDocument/2006/relationships/image" Target="../media/image19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eg"/><Relationship Id="rId7" Type="http://schemas.openxmlformats.org/officeDocument/2006/relationships/image" Target="../media/image26.jpeg"/><Relationship Id="rId2" Type="http://schemas.openxmlformats.org/officeDocument/2006/relationships/image" Target="../media/image21.jpeg"/><Relationship Id="rId1" Type="http://schemas.openxmlformats.org/officeDocument/2006/relationships/image" Target="../media/image20.jpeg"/><Relationship Id="rId6" Type="http://schemas.openxmlformats.org/officeDocument/2006/relationships/image" Target="../media/image25.jpeg"/><Relationship Id="rId5" Type="http://schemas.openxmlformats.org/officeDocument/2006/relationships/image" Target="../media/image24.jpeg"/><Relationship Id="rId4" Type="http://schemas.openxmlformats.org/officeDocument/2006/relationships/image" Target="../media/image2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jpeg"/><Relationship Id="rId2" Type="http://schemas.openxmlformats.org/officeDocument/2006/relationships/image" Target="../media/image28.jpeg"/><Relationship Id="rId1" Type="http://schemas.openxmlformats.org/officeDocument/2006/relationships/image" Target="../media/image2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jpeg"/><Relationship Id="rId2" Type="http://schemas.openxmlformats.org/officeDocument/2006/relationships/image" Target="../media/image1.jpeg"/><Relationship Id="rId1" Type="http://schemas.openxmlformats.org/officeDocument/2006/relationships/image" Target="../media/image30.jpeg"/><Relationship Id="rId6" Type="http://schemas.openxmlformats.org/officeDocument/2006/relationships/image" Target="../media/image34.jpeg"/><Relationship Id="rId5" Type="http://schemas.openxmlformats.org/officeDocument/2006/relationships/image" Target="../media/image33.jpeg"/><Relationship Id="rId4" Type="http://schemas.openxmlformats.org/officeDocument/2006/relationships/image" Target="../media/image3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3</xdr:row>
      <xdr:rowOff>0</xdr:rowOff>
    </xdr:from>
    <xdr:to>
      <xdr:col>5</xdr:col>
      <xdr:colOff>133350</xdr:colOff>
      <xdr:row>53</xdr:row>
      <xdr:rowOff>9525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xmlns="" id="{C89C5123-6079-4AB8-A9DE-32BD843FC24E}"/>
            </a:ext>
          </a:extLst>
        </xdr:cNvPr>
        <xdr:cNvSpPr txBox="1">
          <a:spLocks noChangeArrowheads="1"/>
        </xdr:cNvSpPr>
      </xdr:nvSpPr>
      <xdr:spPr bwMode="auto">
        <a:xfrm>
          <a:off x="495300" y="590550"/>
          <a:ext cx="5000625" cy="8143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400" b="1" i="0" u="sng" strike="noStrike" baseline="0">
            <a:solidFill>
              <a:srgbClr val="3366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400" b="1" i="0" u="sng" strike="noStrike" baseline="0">
              <a:solidFill>
                <a:srgbClr val="3366FF"/>
              </a:solidFill>
              <a:latin typeface="Arial"/>
              <a:cs typeface="Arial"/>
            </a:rPr>
            <a:t> PDH Course Overview</a:t>
          </a:r>
        </a:p>
        <a:p>
          <a:pPr algn="l" rtl="0">
            <a:defRPr sz="1000"/>
          </a:pPr>
          <a:endParaRPr lang="en-US" sz="1400" b="1" i="0" u="none" strike="noStrike" baseline="0">
            <a:solidFill>
              <a:srgbClr val="3366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3366FF"/>
              </a:solidFill>
              <a:latin typeface="Arial"/>
              <a:cs typeface="Arial"/>
            </a:rPr>
            <a:t>Engineering Calculations with Spread Sheets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Engineering new or upgraded: buildings, machines, chemical processes, or anything else involves the well being of mankind. Safety and accuracy is essential. Spreadsheets can facilitate optimum results.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Some advantages of spreadsheet calculations over hand written include: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1. easier to read.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2. better recall from archives.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3. greater accuracy.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4. faster with repeat use.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5. graphs are created automatically.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6. numerous useful formulas.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7. "Goal Seek" enables optimization.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8. solve any equation with, "Solver". 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9. solve sets of linear and non-linear equations.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10. calculations and graphs may be pasted into 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documents and slide show presentations.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3366FF"/>
              </a:solidFill>
              <a:latin typeface="Arial"/>
              <a:cs typeface="Arial"/>
            </a:rPr>
            <a:t>Spread Sheet Method</a:t>
          </a: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Step-1  Open "Excel".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Step-2  Select drop-down menu, Insert.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Step-3  Make a sketch of the loaded beam with the Shapes toolbar.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Step-4  Type a symbol for the unknown in one cell.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Step-5  Add the formula for the unknown in the adjacent cell to the right.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Step-6  Copy the formula into the cell below and type an = sign at the left side.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Step-7  Select the bottom formula cell and press the F2 key to edit.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Step-8  Typing" = " at the left end of the cell activates math functions.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Step-9  Pick a symbol in the formula, delete it, and pick the cell containing the numerical value of the symbol.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Step-10  Repeat Step-10 for each symbol in the formula.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Step-11  Press enter and Excel will perform the calculation.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Step-12  Study the example spreadsheet calculations in this course.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3366FF"/>
              </a:solidFill>
              <a:latin typeface="Arial"/>
              <a:cs typeface="Arial"/>
            </a:rPr>
            <a:t>Excel's "GOAL SEEK"  Click "Math Tools" Tab below for more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A.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Excel's, "Goal Seek" adjusts one input value to cause a calculated formula cell to equal the desired value that you type in the Goal Seek dialog box,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To value:   [                    ]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B.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When using Goal Seek unprotect the spread sheet by selecting: Drop down menu: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Tools &gt; Protection &gt; Unprotect Sheet &gt; OK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C.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When Excel's Goal Seek is not needed, restore protection with drop down menu: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Tools &gt; Protection &gt; Protect Sheet &gt; OK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304800</xdr:colOff>
      <xdr:row>54</xdr:row>
      <xdr:rowOff>47625</xdr:rowOff>
    </xdr:from>
    <xdr:to>
      <xdr:col>1</xdr:col>
      <xdr:colOff>2343150</xdr:colOff>
      <xdr:row>62</xdr:row>
      <xdr:rowOff>114300</xdr:rowOff>
    </xdr:to>
    <xdr:pic>
      <xdr:nvPicPr>
        <xdr:cNvPr id="31757" name="Picture 45" descr="FORCE-VECTORS">
          <a:extLst>
            <a:ext uri="{FF2B5EF4-FFF2-40B4-BE49-F238E27FC236}">
              <a16:creationId xmlns:a16="http://schemas.microsoft.com/office/drawing/2014/main" xmlns="" id="{279475F4-E70B-469F-8951-5A51E74D5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7700" y="8934450"/>
          <a:ext cx="203835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47624</xdr:colOff>
      <xdr:row>54</xdr:row>
      <xdr:rowOff>152400</xdr:rowOff>
    </xdr:from>
    <xdr:to>
      <xdr:col>4</xdr:col>
      <xdr:colOff>209550</xdr:colOff>
      <xdr:row>61</xdr:row>
      <xdr:rowOff>152400</xdr:rowOff>
    </xdr:to>
    <xdr:sp macro="" textlink="">
      <xdr:nvSpPr>
        <xdr:cNvPr id="1148" name="Text Box 124">
          <a:extLst>
            <a:ext uri="{FF2B5EF4-FFF2-40B4-BE49-F238E27FC236}">
              <a16:creationId xmlns:a16="http://schemas.microsoft.com/office/drawing/2014/main" xmlns="" id="{0CED01B8-202C-413E-8902-2B5CBA38355B}"/>
            </a:ext>
          </a:extLst>
        </xdr:cNvPr>
        <xdr:cNvSpPr txBox="1">
          <a:spLocks noChangeArrowheads="1"/>
        </xdr:cNvSpPr>
      </xdr:nvSpPr>
      <xdr:spPr bwMode="auto">
        <a:xfrm>
          <a:off x="2847974" y="9039225"/>
          <a:ext cx="2066926" cy="1304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V is the vertical component of resultant force R.</a:t>
          </a:r>
        </a:p>
        <a:p>
          <a:pPr algn="l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H is the horizontal component of resultant force R.</a:t>
          </a:r>
        </a:p>
        <a:p>
          <a:pPr algn="l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Forces V and H replace force R.</a:t>
          </a:r>
        </a:p>
      </xdr:txBody>
    </xdr:sp>
    <xdr:clientData/>
  </xdr:twoCellAnchor>
  <xdr:twoCellAnchor editAs="oneCell">
    <xdr:from>
      <xdr:col>1</xdr:col>
      <xdr:colOff>679452</xdr:colOff>
      <xdr:row>161</xdr:row>
      <xdr:rowOff>8467</xdr:rowOff>
    </xdr:from>
    <xdr:to>
      <xdr:col>2</xdr:col>
      <xdr:colOff>519692</xdr:colOff>
      <xdr:row>180</xdr:row>
      <xdr:rowOff>139701</xdr:rowOff>
    </xdr:to>
    <xdr:pic>
      <xdr:nvPicPr>
        <xdr:cNvPr id="31759" name="Picture 7" descr="image001">
          <a:extLst>
            <a:ext uri="{FF2B5EF4-FFF2-40B4-BE49-F238E27FC236}">
              <a16:creationId xmlns:a16="http://schemas.microsoft.com/office/drawing/2014/main" xmlns="" id="{1D3D4BFA-9960-4292-BC80-5157B741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43519" y="27144134"/>
          <a:ext cx="2414106" cy="318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96</xdr:row>
      <xdr:rowOff>19050</xdr:rowOff>
    </xdr:from>
    <xdr:to>
      <xdr:col>2</xdr:col>
      <xdr:colOff>948267</xdr:colOff>
      <xdr:row>115</xdr:row>
      <xdr:rowOff>29027</xdr:rowOff>
    </xdr:to>
    <xdr:pic>
      <xdr:nvPicPr>
        <xdr:cNvPr id="31760" name="Picture 9" descr="CANTILEVER">
          <a:extLst>
            <a:ext uri="{FF2B5EF4-FFF2-40B4-BE49-F238E27FC236}">
              <a16:creationId xmlns:a16="http://schemas.microsoft.com/office/drawing/2014/main" xmlns="" id="{CB5B21AF-9500-44B0-AE0C-7CBD350F0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2875" y="16694150"/>
          <a:ext cx="3743325" cy="306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482600</xdr:colOff>
      <xdr:row>205</xdr:row>
      <xdr:rowOff>37042</xdr:rowOff>
    </xdr:from>
    <xdr:to>
      <xdr:col>3</xdr:col>
      <xdr:colOff>473075</xdr:colOff>
      <xdr:row>210</xdr:row>
      <xdr:rowOff>82551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xmlns="" id="{1E8DAD44-F9F1-451E-AFB2-DABDF8C995E4}"/>
            </a:ext>
          </a:extLst>
        </xdr:cNvPr>
        <xdr:cNvSpPr txBox="1">
          <a:spLocks noChangeArrowheads="1"/>
        </xdr:cNvSpPr>
      </xdr:nvSpPr>
      <xdr:spPr bwMode="auto">
        <a:xfrm>
          <a:off x="844550" y="33857142"/>
          <a:ext cx="3921125" cy="83925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sz="1400" b="1" i="0" u="none" strike="noStrike" baseline="0">
              <a:solidFill>
                <a:srgbClr val="3366FF"/>
              </a:solidFill>
              <a:latin typeface="Arial"/>
              <a:cs typeface="Arial"/>
            </a:rPr>
            <a:t>AISC PROPERTIES VIEWER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http://www.scribd.com/doc/1023890/AISC-Properties-Viewer</a:t>
          </a:r>
        </a:p>
        <a:p>
          <a:pPr algn="l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Copy and paste the above AISC Properties Viewer if you wish to download the spread sheet below.</a:t>
          </a:r>
        </a:p>
        <a:p>
          <a:pPr algn="l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273050</xdr:colOff>
      <xdr:row>213</xdr:row>
      <xdr:rowOff>9525</xdr:rowOff>
    </xdr:from>
    <xdr:to>
      <xdr:col>5</xdr:col>
      <xdr:colOff>434975</xdr:colOff>
      <xdr:row>241</xdr:row>
      <xdr:rowOff>101600</xdr:rowOff>
    </xdr:to>
    <xdr:pic>
      <xdr:nvPicPr>
        <xdr:cNvPr id="31763" name="Picture 23" descr="AISC SECTIONS">
          <a:extLst>
            <a:ext uri="{FF2B5EF4-FFF2-40B4-BE49-F238E27FC236}">
              <a16:creationId xmlns:a16="http://schemas.microsoft.com/office/drawing/2014/main" xmlns="" id="{4A0840DC-65DA-4938-9EB1-13B0118D8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3050" y="35099625"/>
          <a:ext cx="5749925" cy="4537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311150</xdr:colOff>
      <xdr:row>183</xdr:row>
      <xdr:rowOff>4234</xdr:rowOff>
    </xdr:from>
    <xdr:to>
      <xdr:col>2</xdr:col>
      <xdr:colOff>820562</xdr:colOff>
      <xdr:row>203</xdr:row>
      <xdr:rowOff>4234</xdr:rowOff>
    </xdr:to>
    <xdr:pic>
      <xdr:nvPicPr>
        <xdr:cNvPr id="31764" name="Picture 24" descr="WELDED-3D-CONN-1">
          <a:extLst>
            <a:ext uri="{FF2B5EF4-FFF2-40B4-BE49-F238E27FC236}">
              <a16:creationId xmlns:a16="http://schemas.microsoft.com/office/drawing/2014/main" xmlns="" id="{7F047BD6-F323-4159-BC05-9D29CF06F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75217" y="30678967"/>
          <a:ext cx="3083278" cy="3217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766234</xdr:colOff>
      <xdr:row>143</xdr:row>
      <xdr:rowOff>102127</xdr:rowOff>
    </xdr:from>
    <xdr:to>
      <xdr:col>2</xdr:col>
      <xdr:colOff>325968</xdr:colOff>
      <xdr:row>157</xdr:row>
      <xdr:rowOff>121707</xdr:rowOff>
    </xdr:to>
    <xdr:pic>
      <xdr:nvPicPr>
        <xdr:cNvPr id="31765" name="Picture 25" descr="FRAMED-PIC-1">
          <a:extLst>
            <a:ext uri="{FF2B5EF4-FFF2-40B4-BE49-F238E27FC236}">
              <a16:creationId xmlns:a16="http://schemas.microsoft.com/office/drawing/2014/main" xmlns="" id="{126DBACA-61CC-4B39-8089-15A684BB9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30301" y="24337960"/>
          <a:ext cx="2133600" cy="2271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662517</xdr:colOff>
      <xdr:row>118</xdr:row>
      <xdr:rowOff>143933</xdr:rowOff>
    </xdr:from>
    <xdr:to>
      <xdr:col>2</xdr:col>
      <xdr:colOff>1145042</xdr:colOff>
      <xdr:row>139</xdr:row>
      <xdr:rowOff>96308</xdr:rowOff>
    </xdr:to>
    <xdr:pic>
      <xdr:nvPicPr>
        <xdr:cNvPr id="31766" name="Picture 26" descr="TRUSS-3D-B">
          <a:extLst>
            <a:ext uri="{FF2B5EF4-FFF2-40B4-BE49-F238E27FC236}">
              <a16:creationId xmlns:a16="http://schemas.microsoft.com/office/drawing/2014/main" xmlns="" id="{F6E2C823-671C-41BC-B28B-AC1510E16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26584" y="20358100"/>
          <a:ext cx="3056391" cy="333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282</xdr:row>
      <xdr:rowOff>152400</xdr:rowOff>
    </xdr:from>
    <xdr:to>
      <xdr:col>5</xdr:col>
      <xdr:colOff>352425</xdr:colOff>
      <xdr:row>292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xmlns="" id="{ED2A1998-F683-4D28-8FE9-D1828D60D601}"/>
            </a:ext>
          </a:extLst>
        </xdr:cNvPr>
        <xdr:cNvSpPr txBox="1">
          <a:spLocks noChangeArrowheads="1"/>
        </xdr:cNvSpPr>
      </xdr:nvSpPr>
      <xdr:spPr bwMode="auto">
        <a:xfrm>
          <a:off x="209550" y="46805850"/>
          <a:ext cx="5505450" cy="1466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DISCLAIMER: The materials contained in the online course are not intended as a representation or warranty on the part of PDHonline.org or any other person/organization named herein. The materials are for general information only. They are not a substitute for competent professional advice. Application of this information to a specific project should be reviewed by a registered professional engineer. Anyone making use of the information set forth herein does so at their own risk and assumes any and all resulting liability arising therefrom. 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306917</xdr:colOff>
      <xdr:row>28</xdr:row>
      <xdr:rowOff>63500</xdr:rowOff>
    </xdr:from>
    <xdr:to>
      <xdr:col>8</xdr:col>
      <xdr:colOff>884767</xdr:colOff>
      <xdr:row>28</xdr:row>
      <xdr:rowOff>135466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63606A61-970D-ED45-8544-45ED3E170AFA}"/>
            </a:ext>
          </a:extLst>
        </xdr:cNvPr>
        <xdr:cNvSpPr/>
      </xdr:nvSpPr>
      <xdr:spPr>
        <a:xfrm>
          <a:off x="6457950" y="4762500"/>
          <a:ext cx="1797050" cy="7196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260350</xdr:colOff>
      <xdr:row>29</xdr:row>
      <xdr:rowOff>10583</xdr:rowOff>
    </xdr:from>
    <xdr:to>
      <xdr:col>6</xdr:col>
      <xdr:colOff>368300</xdr:colOff>
      <xdr:row>31</xdr:row>
      <xdr:rowOff>139700</xdr:rowOff>
    </xdr:to>
    <xdr:sp macro="" textlink="">
      <xdr:nvSpPr>
        <xdr:cNvPr id="5" name="Arrow: Up 4">
          <a:extLst>
            <a:ext uri="{FF2B5EF4-FFF2-40B4-BE49-F238E27FC236}">
              <a16:creationId xmlns:a16="http://schemas.microsoft.com/office/drawing/2014/main" xmlns="" id="{72A4C042-15C0-8514-5364-CD6995B753F2}"/>
            </a:ext>
          </a:extLst>
        </xdr:cNvPr>
        <xdr:cNvSpPr/>
      </xdr:nvSpPr>
      <xdr:spPr>
        <a:xfrm>
          <a:off x="6411383" y="4870450"/>
          <a:ext cx="107950" cy="4508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605367</xdr:colOff>
      <xdr:row>29</xdr:row>
      <xdr:rowOff>12699</xdr:rowOff>
    </xdr:from>
    <xdr:to>
      <xdr:col>9</xdr:col>
      <xdr:colOff>57150</xdr:colOff>
      <xdr:row>31</xdr:row>
      <xdr:rowOff>139699</xdr:rowOff>
    </xdr:to>
    <xdr:sp macro="" textlink="">
      <xdr:nvSpPr>
        <xdr:cNvPr id="6" name="Arrow: Up 5">
          <a:extLst>
            <a:ext uri="{FF2B5EF4-FFF2-40B4-BE49-F238E27FC236}">
              <a16:creationId xmlns:a16="http://schemas.microsoft.com/office/drawing/2014/main" xmlns="" id="{3F807987-0C87-4446-8C1C-ECB3C73259BB}"/>
            </a:ext>
          </a:extLst>
        </xdr:cNvPr>
        <xdr:cNvSpPr/>
      </xdr:nvSpPr>
      <xdr:spPr>
        <a:xfrm>
          <a:off x="7975600" y="4872566"/>
          <a:ext cx="107950" cy="448733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203200</xdr:colOff>
      <xdr:row>25</xdr:row>
      <xdr:rowOff>76199</xdr:rowOff>
    </xdr:from>
    <xdr:to>
      <xdr:col>7</xdr:col>
      <xdr:colOff>311150</xdr:colOff>
      <xdr:row>28</xdr:row>
      <xdr:rowOff>42332</xdr:rowOff>
    </xdr:to>
    <xdr:sp macro="" textlink="">
      <xdr:nvSpPr>
        <xdr:cNvPr id="7" name="Arrow: Up 6">
          <a:extLst>
            <a:ext uri="{FF2B5EF4-FFF2-40B4-BE49-F238E27FC236}">
              <a16:creationId xmlns:a16="http://schemas.microsoft.com/office/drawing/2014/main" xmlns="" id="{1250B207-09DB-4283-AF3E-6DF9FFA6428A}"/>
            </a:ext>
          </a:extLst>
        </xdr:cNvPr>
        <xdr:cNvSpPr/>
      </xdr:nvSpPr>
      <xdr:spPr>
        <a:xfrm rot="10800000">
          <a:off x="6963833" y="4292599"/>
          <a:ext cx="107950" cy="448733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361950</xdr:colOff>
      <xdr:row>76</xdr:row>
      <xdr:rowOff>142875</xdr:rowOff>
    </xdr:from>
    <xdr:to>
      <xdr:col>7</xdr:col>
      <xdr:colOff>571500</xdr:colOff>
      <xdr:row>84</xdr:row>
      <xdr:rowOff>19050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C8A32FB5-98D6-F3B6-A5C4-7DDB222D9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067300" y="13182600"/>
          <a:ext cx="2009775" cy="1390650"/>
        </a:xfrm>
        <a:prstGeom prst="rect">
          <a:avLst/>
        </a:prstGeom>
      </xdr:spPr>
    </xdr:pic>
    <xdr:clientData/>
  </xdr:twoCellAnchor>
  <xdr:twoCellAnchor editAs="oneCell">
    <xdr:from>
      <xdr:col>4</xdr:col>
      <xdr:colOff>333375</xdr:colOff>
      <xdr:row>85</xdr:row>
      <xdr:rowOff>28575</xdr:rowOff>
    </xdr:from>
    <xdr:to>
      <xdr:col>8</xdr:col>
      <xdr:colOff>419100</xdr:colOff>
      <xdr:row>93</xdr:row>
      <xdr:rowOff>123825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DB2A832C-D5D6-7EC0-4DBD-B21E80180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038725" y="14744700"/>
          <a:ext cx="2466975" cy="1419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120</xdr:row>
      <xdr:rowOff>104775</xdr:rowOff>
    </xdr:from>
    <xdr:to>
      <xdr:col>3</xdr:col>
      <xdr:colOff>419100</xdr:colOff>
      <xdr:row>143</xdr:row>
      <xdr:rowOff>85725</xdr:rowOff>
    </xdr:to>
    <xdr:pic>
      <xdr:nvPicPr>
        <xdr:cNvPr id="32782" name="Picture 6" descr="CANTILEVER-2">
          <a:extLst>
            <a:ext uri="{FF2B5EF4-FFF2-40B4-BE49-F238E27FC236}">
              <a16:creationId xmlns:a16="http://schemas.microsoft.com/office/drawing/2014/main" xmlns="" id="{3FFD25E9-AEB1-4204-B292-B117EE00B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85875" y="19888200"/>
          <a:ext cx="2800350" cy="3705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48</xdr:row>
      <xdr:rowOff>47625</xdr:rowOff>
    </xdr:from>
    <xdr:to>
      <xdr:col>2</xdr:col>
      <xdr:colOff>409575</xdr:colOff>
      <xdr:row>69</xdr:row>
      <xdr:rowOff>28575</xdr:rowOff>
    </xdr:to>
    <xdr:pic>
      <xdr:nvPicPr>
        <xdr:cNvPr id="32783" name="Picture 11" descr="CANTILEVER-5">
          <a:extLst>
            <a:ext uri="{FF2B5EF4-FFF2-40B4-BE49-F238E27FC236}">
              <a16:creationId xmlns:a16="http://schemas.microsoft.com/office/drawing/2014/main" xmlns="" id="{66ADADDA-8815-43DE-8FC0-76A5AD6E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" y="7972425"/>
          <a:ext cx="2847975" cy="338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187</xdr:row>
      <xdr:rowOff>57150</xdr:rowOff>
    </xdr:from>
    <xdr:to>
      <xdr:col>5</xdr:col>
      <xdr:colOff>0</xdr:colOff>
      <xdr:row>190</xdr:row>
      <xdr:rowOff>152400</xdr:rowOff>
    </xdr:to>
    <xdr:sp macro="" textlink="">
      <xdr:nvSpPr>
        <xdr:cNvPr id="3084" name="Text Box 12">
          <a:extLst>
            <a:ext uri="{FF2B5EF4-FFF2-40B4-BE49-F238E27FC236}">
              <a16:creationId xmlns:a16="http://schemas.microsoft.com/office/drawing/2014/main" xmlns="" id="{789D15D7-9F20-41C2-AADB-8CA6F3EEBE6B}"/>
            </a:ext>
          </a:extLst>
        </xdr:cNvPr>
        <xdr:cNvSpPr txBox="1">
          <a:spLocks noChangeArrowheads="1"/>
        </xdr:cNvSpPr>
      </xdr:nvSpPr>
      <xdr:spPr bwMode="auto">
        <a:xfrm>
          <a:off x="428625" y="31041975"/>
          <a:ext cx="4705350" cy="581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Principal of Superposition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Within the elastic limit the total deflection at a point in a beam is equal to the sum of the deflections due to all of the apllied loading systems.</a:t>
          </a:r>
        </a:p>
      </xdr:txBody>
    </xdr:sp>
    <xdr:clientData/>
  </xdr:twoCellAnchor>
  <xdr:twoCellAnchor editAs="oneCell">
    <xdr:from>
      <xdr:col>1</xdr:col>
      <xdr:colOff>266700</xdr:colOff>
      <xdr:row>303</xdr:row>
      <xdr:rowOff>38100</xdr:rowOff>
    </xdr:from>
    <xdr:to>
      <xdr:col>3</xdr:col>
      <xdr:colOff>333375</xdr:colOff>
      <xdr:row>328</xdr:row>
      <xdr:rowOff>85725</xdr:rowOff>
    </xdr:to>
    <xdr:pic>
      <xdr:nvPicPr>
        <xdr:cNvPr id="32785" name="Picture 14" descr="CANTILEVER-6">
          <a:extLst>
            <a:ext uri="{FF2B5EF4-FFF2-40B4-BE49-F238E27FC236}">
              <a16:creationId xmlns:a16="http://schemas.microsoft.com/office/drawing/2014/main" xmlns="" id="{871DDF4C-9C27-482E-9E30-44FC44363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5325" y="50234850"/>
          <a:ext cx="3305175" cy="409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5</xdr:row>
      <xdr:rowOff>57150</xdr:rowOff>
    </xdr:from>
    <xdr:to>
      <xdr:col>4</xdr:col>
      <xdr:colOff>485775</xdr:colOff>
      <xdr:row>25</xdr:row>
      <xdr:rowOff>104775</xdr:rowOff>
    </xdr:to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xmlns="" id="{60F4590A-756E-4B50-A400-228CBC54C61B}"/>
            </a:ext>
          </a:extLst>
        </xdr:cNvPr>
        <xdr:cNvSpPr txBox="1">
          <a:spLocks noChangeArrowheads="1"/>
        </xdr:cNvSpPr>
      </xdr:nvSpPr>
      <xdr:spPr bwMode="auto">
        <a:xfrm>
          <a:off x="809625" y="971550"/>
          <a:ext cx="3952875" cy="3286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3366FF"/>
              </a:solidFill>
              <a:latin typeface="Arial"/>
              <a:cs typeface="Arial"/>
            </a:rPr>
            <a:t>Nomanclature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 = load location from left end,  in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 = load location from right end,  in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 = modulus of elasticity,  lbs/in2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Fa = allowable stress,  lbs/in2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 = section second moment of area about the horizontal X-X axis,  in4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 = beam span in inches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Lf = beam span in feet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 = beam or truss moment,  in-lbs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 = concentrated load,  lbs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 = support reaction force,  lbs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SF = safety factor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Sx = beam section modulus about the horizontal axis,  in3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 = beam shear force,  lbs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 = beam weight per foot,  lb/ft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 = location on beam,  in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 = beam vertical deflection under load,  in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θ =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beam end slope,  rad or deg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390525</xdr:colOff>
      <xdr:row>411</xdr:row>
      <xdr:rowOff>133350</xdr:rowOff>
    </xdr:from>
    <xdr:to>
      <xdr:col>5</xdr:col>
      <xdr:colOff>285750</xdr:colOff>
      <xdr:row>419</xdr:row>
      <xdr:rowOff>0</xdr:rowOff>
    </xdr:to>
    <xdr:sp macro="" textlink="">
      <xdr:nvSpPr>
        <xdr:cNvPr id="3089" name="Text Box 104">
          <a:extLst>
            <a:ext uri="{FF2B5EF4-FFF2-40B4-BE49-F238E27FC236}">
              <a16:creationId xmlns:a16="http://schemas.microsoft.com/office/drawing/2014/main" xmlns="" id="{D181ED91-4A50-442F-8619-AAC2F2E6F05B}"/>
            </a:ext>
          </a:extLst>
        </xdr:cNvPr>
        <xdr:cNvSpPr txBox="1">
          <a:spLocks noChangeArrowheads="1"/>
        </xdr:cNvSpPr>
      </xdr:nvSpPr>
      <xdr:spPr bwMode="auto">
        <a:xfrm>
          <a:off x="819150" y="68027550"/>
          <a:ext cx="4600575" cy="1390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Open the AISC Structural Steel Sections spreadsheet or other table.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Select a beam section with a section modulus Sx equal to or a small amount greater than the required Sx calculated above. 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There may be more than one beam section with the required Sx or slightly larger.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238125</xdr:colOff>
      <xdr:row>372</xdr:row>
      <xdr:rowOff>85725</xdr:rowOff>
    </xdr:from>
    <xdr:to>
      <xdr:col>5</xdr:col>
      <xdr:colOff>85725</xdr:colOff>
      <xdr:row>376</xdr:row>
      <xdr:rowOff>66675</xdr:rowOff>
    </xdr:to>
    <xdr:sp macro="" textlink="">
      <xdr:nvSpPr>
        <xdr:cNvPr id="3090" name="Text Box 18">
          <a:extLst>
            <a:ext uri="{FF2B5EF4-FFF2-40B4-BE49-F238E27FC236}">
              <a16:creationId xmlns:a16="http://schemas.microsoft.com/office/drawing/2014/main" xmlns="" id="{13909C9F-7DE5-4998-B1D7-7C87AC6CBD0C}"/>
            </a:ext>
          </a:extLst>
        </xdr:cNvPr>
        <xdr:cNvSpPr txBox="1">
          <a:spLocks noChangeArrowheads="1"/>
        </xdr:cNvSpPr>
      </xdr:nvSpPr>
      <xdr:spPr bwMode="auto">
        <a:xfrm>
          <a:off x="666750" y="61636275"/>
          <a:ext cx="4552950" cy="628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Input the maximum moment, allowable stress and safety factor below and use the AISC spreadsheet table to calculate the  beam section modulus Sx that will support the moment M at the allowable bending stress Fa.</a:t>
          </a:r>
        </a:p>
      </xdr:txBody>
    </xdr:sp>
    <xdr:clientData/>
  </xdr:twoCellAnchor>
  <xdr:twoCellAnchor editAs="oneCell">
    <xdr:from>
      <xdr:col>1</xdr:col>
      <xdr:colOff>952500</xdr:colOff>
      <xdr:row>377</xdr:row>
      <xdr:rowOff>104775</xdr:rowOff>
    </xdr:from>
    <xdr:to>
      <xdr:col>3</xdr:col>
      <xdr:colOff>561975</xdr:colOff>
      <xdr:row>400</xdr:row>
      <xdr:rowOff>104775</xdr:rowOff>
    </xdr:to>
    <xdr:pic>
      <xdr:nvPicPr>
        <xdr:cNvPr id="32789" name="Picture 21" descr="CANTILEVER-1">
          <a:extLst>
            <a:ext uri="{FF2B5EF4-FFF2-40B4-BE49-F238E27FC236}">
              <a16:creationId xmlns:a16="http://schemas.microsoft.com/office/drawing/2014/main" xmlns="" id="{F440505D-32E2-4117-AE6C-A4C05B55F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1125" y="62484000"/>
          <a:ext cx="2847975" cy="3724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206</xdr:row>
      <xdr:rowOff>104775</xdr:rowOff>
    </xdr:from>
    <xdr:to>
      <xdr:col>5</xdr:col>
      <xdr:colOff>19050</xdr:colOff>
      <xdr:row>210</xdr:row>
      <xdr:rowOff>47625</xdr:rowOff>
    </xdr:to>
    <xdr:sp macro="" textlink="">
      <xdr:nvSpPr>
        <xdr:cNvPr id="3094" name="Text Box 22">
          <a:extLst>
            <a:ext uri="{FF2B5EF4-FFF2-40B4-BE49-F238E27FC236}">
              <a16:creationId xmlns:a16="http://schemas.microsoft.com/office/drawing/2014/main" xmlns="" id="{5D327011-8C34-4772-A03D-7658B991310E}"/>
            </a:ext>
          </a:extLst>
        </xdr:cNvPr>
        <xdr:cNvSpPr txBox="1">
          <a:spLocks noChangeArrowheads="1"/>
        </xdr:cNvSpPr>
      </xdr:nvSpPr>
      <xdr:spPr bwMode="auto">
        <a:xfrm>
          <a:off x="619125" y="34356675"/>
          <a:ext cx="4533900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3366FF"/>
              </a:solidFill>
              <a:latin typeface="Arial"/>
              <a:cs typeface="Arial"/>
            </a:rPr>
            <a:t>EMAMPLE: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Given the cantilever data below calculate the maximum moment and free end deflection due to load P only. Do not include the weight of the beam.</a:t>
          </a:r>
        </a:p>
      </xdr:txBody>
    </xdr:sp>
    <xdr:clientData/>
  </xdr:twoCellAnchor>
  <xdr:twoCellAnchor editAs="oneCell">
    <xdr:from>
      <xdr:col>1</xdr:col>
      <xdr:colOff>485775</xdr:colOff>
      <xdr:row>210</xdr:row>
      <xdr:rowOff>114300</xdr:rowOff>
    </xdr:from>
    <xdr:to>
      <xdr:col>3</xdr:col>
      <xdr:colOff>352425</xdr:colOff>
      <xdr:row>222</xdr:row>
      <xdr:rowOff>28575</xdr:rowOff>
    </xdr:to>
    <xdr:pic>
      <xdr:nvPicPr>
        <xdr:cNvPr id="32791" name="Picture 26" descr="Cantilever Deflection">
          <a:extLst>
            <a:ext uri="{FF2B5EF4-FFF2-40B4-BE49-F238E27FC236}">
              <a16:creationId xmlns:a16="http://schemas.microsoft.com/office/drawing/2014/main" xmlns="" id="{2BA0B599-F541-4C8A-B97A-6803146E1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14400" y="35032950"/>
          <a:ext cx="3105150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771525</xdr:colOff>
      <xdr:row>233</xdr:row>
      <xdr:rowOff>104775</xdr:rowOff>
    </xdr:from>
    <xdr:to>
      <xdr:col>5</xdr:col>
      <xdr:colOff>0</xdr:colOff>
      <xdr:row>238</xdr:row>
      <xdr:rowOff>9525</xdr:rowOff>
    </xdr:to>
    <xdr:sp macro="" textlink="">
      <xdr:nvSpPr>
        <xdr:cNvPr id="3099" name="Text Box 27">
          <a:extLst>
            <a:ext uri="{FF2B5EF4-FFF2-40B4-BE49-F238E27FC236}">
              <a16:creationId xmlns:a16="http://schemas.microsoft.com/office/drawing/2014/main" xmlns="" id="{9346FBEF-1B99-4C95-8DE9-4C09B812212C}"/>
            </a:ext>
          </a:extLst>
        </xdr:cNvPr>
        <xdr:cNvSpPr txBox="1">
          <a:spLocks noChangeArrowheads="1"/>
        </xdr:cNvSpPr>
      </xdr:nvSpPr>
      <xdr:spPr bwMode="auto">
        <a:xfrm>
          <a:off x="1200150" y="38747700"/>
          <a:ext cx="3933825" cy="714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beam data in yellow above is copied and pasted into the "</a:t>
          </a: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INPUT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data cells below.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Note: Load location, x = a = 0 inches.</a:t>
          </a:r>
        </a:p>
      </xdr:txBody>
    </xdr:sp>
    <xdr:clientData/>
  </xdr:twoCellAnchor>
  <xdr:twoCellAnchor editAs="oneCell">
    <xdr:from>
      <xdr:col>1</xdr:col>
      <xdr:colOff>952500</xdr:colOff>
      <xdr:row>238</xdr:row>
      <xdr:rowOff>38100</xdr:rowOff>
    </xdr:from>
    <xdr:to>
      <xdr:col>3</xdr:col>
      <xdr:colOff>552450</xdr:colOff>
      <xdr:row>259</xdr:row>
      <xdr:rowOff>38100</xdr:rowOff>
    </xdr:to>
    <xdr:pic>
      <xdr:nvPicPr>
        <xdr:cNvPr id="32793" name="Picture 28" descr="CANTILEVER-5">
          <a:extLst>
            <a:ext uri="{FF2B5EF4-FFF2-40B4-BE49-F238E27FC236}">
              <a16:creationId xmlns:a16="http://schemas.microsoft.com/office/drawing/2014/main" xmlns="" id="{1C12163B-12B9-4E63-84DB-2E78DC430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1125" y="39509700"/>
          <a:ext cx="2838450" cy="340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609600</xdr:colOff>
      <xdr:row>51</xdr:row>
      <xdr:rowOff>47625</xdr:rowOff>
    </xdr:from>
    <xdr:to>
      <xdr:col>5</xdr:col>
      <xdr:colOff>219075</xdr:colOff>
      <xdr:row>67</xdr:row>
      <xdr:rowOff>123825</xdr:rowOff>
    </xdr:to>
    <xdr:pic>
      <xdr:nvPicPr>
        <xdr:cNvPr id="32794" name="Picture 30" descr="W18x60-JA">
          <a:extLst>
            <a:ext uri="{FF2B5EF4-FFF2-40B4-BE49-F238E27FC236}">
              <a16:creationId xmlns:a16="http://schemas.microsoft.com/office/drawing/2014/main" xmlns="" id="{A417C0B2-9A7D-47B8-AFDF-EE74CCF17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81400" y="8458200"/>
          <a:ext cx="1771650" cy="266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28</xdr:row>
      <xdr:rowOff>47625</xdr:rowOff>
    </xdr:from>
    <xdr:to>
      <xdr:col>1</xdr:col>
      <xdr:colOff>2409825</xdr:colOff>
      <xdr:row>47</xdr:row>
      <xdr:rowOff>161925</xdr:rowOff>
    </xdr:to>
    <xdr:sp macro="" textlink="">
      <xdr:nvSpPr>
        <xdr:cNvPr id="3103" name="Text Box 31">
          <a:extLst>
            <a:ext uri="{FF2B5EF4-FFF2-40B4-BE49-F238E27FC236}">
              <a16:creationId xmlns:a16="http://schemas.microsoft.com/office/drawing/2014/main" xmlns="" id="{AA8A9ED8-24D5-490A-9D40-B2F620A47422}"/>
            </a:ext>
          </a:extLst>
        </xdr:cNvPr>
        <xdr:cNvSpPr txBox="1">
          <a:spLocks noChangeArrowheads="1"/>
        </xdr:cNvSpPr>
      </xdr:nvSpPr>
      <xdr:spPr bwMode="auto">
        <a:xfrm>
          <a:off x="438150" y="4695825"/>
          <a:ext cx="2400300" cy="3200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3366FF"/>
              </a:solidFill>
              <a:latin typeface="Arial"/>
              <a:cs typeface="Arial"/>
            </a:rPr>
            <a:t>BEAM CALCULATION METHOD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Step-1  Type beam load and properties data under "Input" below.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Step-2  Excel will, "Calculate" beam: shear, moment, and deflection due to the consentrated load "P" lbs and the distributed load "w" lbs/ft.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Notes: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1.  Distributed load w can include the weight of the beam pluss any additional distributed load.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2.  Do not delete load P when calculating the moment due to w and vise versa.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107</xdr:row>
      <xdr:rowOff>85725</xdr:rowOff>
    </xdr:from>
    <xdr:to>
      <xdr:col>4</xdr:col>
      <xdr:colOff>133350</xdr:colOff>
      <xdr:row>128</xdr:row>
      <xdr:rowOff>85725</xdr:rowOff>
    </xdr:to>
    <xdr:pic>
      <xdr:nvPicPr>
        <xdr:cNvPr id="33800" name="Picture 25" descr="BEAM-2">
          <a:extLst>
            <a:ext uri="{FF2B5EF4-FFF2-40B4-BE49-F238E27FC236}">
              <a16:creationId xmlns:a16="http://schemas.microsoft.com/office/drawing/2014/main" xmlns="" id="{1774315F-55EF-4591-A31C-70A3885ED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3950" y="17802225"/>
          <a:ext cx="3105150" cy="340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1133475</xdr:colOff>
      <xdr:row>163</xdr:row>
      <xdr:rowOff>47625</xdr:rowOff>
    </xdr:from>
    <xdr:to>
      <xdr:col>4</xdr:col>
      <xdr:colOff>438150</xdr:colOff>
      <xdr:row>193</xdr:row>
      <xdr:rowOff>57150</xdr:rowOff>
    </xdr:to>
    <xdr:pic>
      <xdr:nvPicPr>
        <xdr:cNvPr id="33801" name="Picture 26" descr="BEAM-3">
          <a:extLst>
            <a:ext uri="{FF2B5EF4-FFF2-40B4-BE49-F238E27FC236}">
              <a16:creationId xmlns:a16="http://schemas.microsoft.com/office/drawing/2014/main" xmlns="" id="{BCD32E58-B13A-4F88-8996-5B10052B4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85900" y="26984325"/>
          <a:ext cx="3048000" cy="487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2047875</xdr:colOff>
      <xdr:row>256</xdr:row>
      <xdr:rowOff>66675</xdr:rowOff>
    </xdr:from>
    <xdr:to>
      <xdr:col>4</xdr:col>
      <xdr:colOff>647700</xdr:colOff>
      <xdr:row>292</xdr:row>
      <xdr:rowOff>95250</xdr:rowOff>
    </xdr:to>
    <xdr:pic>
      <xdr:nvPicPr>
        <xdr:cNvPr id="33802" name="Picture 27" descr="BEAM-5">
          <a:extLst>
            <a:ext uri="{FF2B5EF4-FFF2-40B4-BE49-F238E27FC236}">
              <a16:creationId xmlns:a16="http://schemas.microsoft.com/office/drawing/2014/main" xmlns="" id="{402C74DB-BCD1-4A94-8497-6C381251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00300" y="42605325"/>
          <a:ext cx="2343150" cy="585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31</xdr:row>
      <xdr:rowOff>0</xdr:rowOff>
    </xdr:from>
    <xdr:to>
      <xdr:col>4</xdr:col>
      <xdr:colOff>95250</xdr:colOff>
      <xdr:row>55</xdr:row>
      <xdr:rowOff>66675</xdr:rowOff>
    </xdr:to>
    <xdr:pic>
      <xdr:nvPicPr>
        <xdr:cNvPr id="33803" name="Picture 28" descr="BEAM-1">
          <a:extLst>
            <a:ext uri="{FF2B5EF4-FFF2-40B4-BE49-F238E27FC236}">
              <a16:creationId xmlns:a16="http://schemas.microsoft.com/office/drawing/2014/main" xmlns="" id="{E1ED7E42-5D69-46DD-997C-D96A3B97D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76325" y="5153025"/>
          <a:ext cx="31146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374</xdr:row>
      <xdr:rowOff>133350</xdr:rowOff>
    </xdr:from>
    <xdr:to>
      <xdr:col>5</xdr:col>
      <xdr:colOff>285750</xdr:colOff>
      <xdr:row>382</xdr:row>
      <xdr:rowOff>0</xdr:rowOff>
    </xdr:to>
    <xdr:sp macro="" textlink="">
      <xdr:nvSpPr>
        <xdr:cNvPr id="2077" name="Text Box 104">
          <a:extLst>
            <a:ext uri="{FF2B5EF4-FFF2-40B4-BE49-F238E27FC236}">
              <a16:creationId xmlns:a16="http://schemas.microsoft.com/office/drawing/2014/main" xmlns="" id="{DC51BF7C-C1E4-479F-BB44-2F3FD0C5C4ED}"/>
            </a:ext>
          </a:extLst>
        </xdr:cNvPr>
        <xdr:cNvSpPr txBox="1">
          <a:spLocks noChangeArrowheads="1"/>
        </xdr:cNvSpPr>
      </xdr:nvSpPr>
      <xdr:spPr bwMode="auto">
        <a:xfrm>
          <a:off x="742950" y="61988700"/>
          <a:ext cx="4305300" cy="1390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Open the AISC Structural Steel Sections spreadsheet or other table.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Select a beam section with a section modulus Sx equal to or a small amount greater than the required Sx calculated above. 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There may be more than one beam section with the required Sx or slightly larger.</a:t>
          </a: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257175</xdr:colOff>
      <xdr:row>336</xdr:row>
      <xdr:rowOff>47625</xdr:rowOff>
    </xdr:from>
    <xdr:to>
      <xdr:col>5</xdr:col>
      <xdr:colOff>104775</xdr:colOff>
      <xdr:row>340</xdr:row>
      <xdr:rowOff>19050</xdr:rowOff>
    </xdr:to>
    <xdr:sp macro="" textlink="">
      <xdr:nvSpPr>
        <xdr:cNvPr id="2078" name="Text Box 30">
          <a:extLst>
            <a:ext uri="{FF2B5EF4-FFF2-40B4-BE49-F238E27FC236}">
              <a16:creationId xmlns:a16="http://schemas.microsoft.com/office/drawing/2014/main" xmlns="" id="{8F5D8430-83C6-4EFB-9C89-FD2B46A41CB1}"/>
            </a:ext>
          </a:extLst>
        </xdr:cNvPr>
        <xdr:cNvSpPr txBox="1">
          <a:spLocks noChangeArrowheads="1"/>
        </xdr:cNvSpPr>
      </xdr:nvSpPr>
      <xdr:spPr bwMode="auto">
        <a:xfrm>
          <a:off x="609600" y="55721250"/>
          <a:ext cx="4257675" cy="619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Input the maximum moment, allowable stress and safety factor below and use the AISC spreadsheet table to calculate the  beam section modulus Sx that will support the moment M at the allowable bending stress Fa.</a:t>
          </a:r>
        </a:p>
      </xdr:txBody>
    </xdr:sp>
    <xdr:clientData/>
  </xdr:twoCellAnchor>
  <xdr:twoCellAnchor editAs="oneCell">
    <xdr:from>
      <xdr:col>1</xdr:col>
      <xdr:colOff>733425</xdr:colOff>
      <xdr:row>341</xdr:row>
      <xdr:rowOff>38100</xdr:rowOff>
    </xdr:from>
    <xdr:to>
      <xdr:col>4</xdr:col>
      <xdr:colOff>114300</xdr:colOff>
      <xdr:row>365</xdr:row>
      <xdr:rowOff>104775</xdr:rowOff>
    </xdr:to>
    <xdr:pic>
      <xdr:nvPicPr>
        <xdr:cNvPr id="33806" name="Picture 31" descr="BEAM-1">
          <a:extLst>
            <a:ext uri="{FF2B5EF4-FFF2-40B4-BE49-F238E27FC236}">
              <a16:creationId xmlns:a16="http://schemas.microsoft.com/office/drawing/2014/main" xmlns="" id="{D3234AAC-5DFA-421A-B9FA-A93C2658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85850" y="56521350"/>
          <a:ext cx="3124200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5</xdr:row>
      <xdr:rowOff>0</xdr:rowOff>
    </xdr:from>
    <xdr:to>
      <xdr:col>1</xdr:col>
      <xdr:colOff>2266950</xdr:colOff>
      <xdr:row>27</xdr:row>
      <xdr:rowOff>9525</xdr:rowOff>
    </xdr:to>
    <xdr:sp macro="" textlink="">
      <xdr:nvSpPr>
        <xdr:cNvPr id="2080" name="Text Box 32">
          <a:extLst>
            <a:ext uri="{FF2B5EF4-FFF2-40B4-BE49-F238E27FC236}">
              <a16:creationId xmlns:a16="http://schemas.microsoft.com/office/drawing/2014/main" xmlns="" id="{244FDF37-A64E-42DE-8F89-CDFE3438A994}"/>
            </a:ext>
          </a:extLst>
        </xdr:cNvPr>
        <xdr:cNvSpPr txBox="1">
          <a:spLocks noChangeArrowheads="1"/>
        </xdr:cNvSpPr>
      </xdr:nvSpPr>
      <xdr:spPr bwMode="auto">
        <a:xfrm>
          <a:off x="438150" y="885825"/>
          <a:ext cx="2181225" cy="3590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3366FF"/>
              </a:solidFill>
              <a:latin typeface="Arial"/>
              <a:cs typeface="Arial"/>
            </a:rPr>
            <a:t>BEAM CALCULATION METHOD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Step-1  Type beam load and properties data under "Input" below.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Step-2  Excel will, "Calculate" beam: shear, moment, and deflection due to the consentrated load "P" lbs and the distributed load "w" lbs/ft.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Notes: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1.  Distributed load w can include the weight of the beam pluss any additional distributed load.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2.  Do not delete load P when calculating the moment due to w and vise versa.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182</xdr:row>
      <xdr:rowOff>142875</xdr:rowOff>
    </xdr:from>
    <xdr:to>
      <xdr:col>5</xdr:col>
      <xdr:colOff>104775</xdr:colOff>
      <xdr:row>186</xdr:row>
      <xdr:rowOff>57150</xdr:rowOff>
    </xdr:to>
    <xdr:sp macro="" textlink="">
      <xdr:nvSpPr>
        <xdr:cNvPr id="8196" name="Text Box 4">
          <a:extLst>
            <a:ext uri="{FF2B5EF4-FFF2-40B4-BE49-F238E27FC236}">
              <a16:creationId xmlns:a16="http://schemas.microsoft.com/office/drawing/2014/main" xmlns="" id="{F9535A66-C763-4C9B-9224-493CCF71B746}"/>
            </a:ext>
          </a:extLst>
        </xdr:cNvPr>
        <xdr:cNvSpPr txBox="1">
          <a:spLocks noChangeArrowheads="1"/>
        </xdr:cNvSpPr>
      </xdr:nvSpPr>
      <xdr:spPr bwMode="auto">
        <a:xfrm>
          <a:off x="619125" y="30346650"/>
          <a:ext cx="4781550" cy="561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Principal of Superposition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Within the elastic limit the total deflection at a point in a beam is equal to the sum of the deflections due to all of the loading systems applied.</a:t>
          </a:r>
        </a:p>
      </xdr:txBody>
    </xdr:sp>
    <xdr:clientData/>
  </xdr:twoCellAnchor>
  <xdr:twoCellAnchor editAs="oneCell">
    <xdr:from>
      <xdr:col>1</xdr:col>
      <xdr:colOff>1123950</xdr:colOff>
      <xdr:row>201</xdr:row>
      <xdr:rowOff>19050</xdr:rowOff>
    </xdr:from>
    <xdr:to>
      <xdr:col>4</xdr:col>
      <xdr:colOff>276225</xdr:colOff>
      <xdr:row>227</xdr:row>
      <xdr:rowOff>66675</xdr:rowOff>
    </xdr:to>
    <xdr:pic>
      <xdr:nvPicPr>
        <xdr:cNvPr id="34826" name="Picture 8" descr="BEAM-9">
          <a:extLst>
            <a:ext uri="{FF2B5EF4-FFF2-40B4-BE49-F238E27FC236}">
              <a16:creationId xmlns:a16="http://schemas.microsoft.com/office/drawing/2014/main" xmlns="" id="{19D94521-17CE-4D0C-BB32-F9188F130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33550" y="33413700"/>
          <a:ext cx="2962275" cy="425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923925</xdr:colOff>
      <xdr:row>27</xdr:row>
      <xdr:rowOff>57150</xdr:rowOff>
    </xdr:from>
    <xdr:to>
      <xdr:col>4</xdr:col>
      <xdr:colOff>76200</xdr:colOff>
      <xdr:row>52</xdr:row>
      <xdr:rowOff>57150</xdr:rowOff>
    </xdr:to>
    <xdr:pic>
      <xdr:nvPicPr>
        <xdr:cNvPr id="34827" name="Picture 21" descr="BEAM-6">
          <a:extLst>
            <a:ext uri="{FF2B5EF4-FFF2-40B4-BE49-F238E27FC236}">
              <a16:creationId xmlns:a16="http://schemas.microsoft.com/office/drawing/2014/main" xmlns="" id="{CC60DBE3-82D8-465A-AF78-865477C63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33525" y="4562475"/>
          <a:ext cx="2962275" cy="404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100</xdr:row>
      <xdr:rowOff>133350</xdr:rowOff>
    </xdr:from>
    <xdr:to>
      <xdr:col>3</xdr:col>
      <xdr:colOff>381000</xdr:colOff>
      <xdr:row>123</xdr:row>
      <xdr:rowOff>123825</xdr:rowOff>
    </xdr:to>
    <xdr:pic>
      <xdr:nvPicPr>
        <xdr:cNvPr id="34828" name="Picture 22" descr="BEAM-7">
          <a:extLst>
            <a:ext uri="{FF2B5EF4-FFF2-40B4-BE49-F238E27FC236}">
              <a16:creationId xmlns:a16="http://schemas.microsoft.com/office/drawing/2014/main" xmlns="" id="{DDDAA6D7-4F96-4B22-824A-4A1C1AD28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16906875"/>
          <a:ext cx="3200400" cy="371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1057275</xdr:colOff>
      <xdr:row>151</xdr:row>
      <xdr:rowOff>85725</xdr:rowOff>
    </xdr:from>
    <xdr:to>
      <xdr:col>4</xdr:col>
      <xdr:colOff>276225</xdr:colOff>
      <xdr:row>182</xdr:row>
      <xdr:rowOff>28575</xdr:rowOff>
    </xdr:to>
    <xdr:pic>
      <xdr:nvPicPr>
        <xdr:cNvPr id="34829" name="Picture 23" descr="BEAM-8">
          <a:extLst>
            <a:ext uri="{FF2B5EF4-FFF2-40B4-BE49-F238E27FC236}">
              <a16:creationId xmlns:a16="http://schemas.microsoft.com/office/drawing/2014/main" xmlns="" id="{A8B92CEE-4EC3-4068-BD90-2CFE2628D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66875" y="25269825"/>
          <a:ext cx="3028950" cy="496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800100</xdr:colOff>
      <xdr:row>276</xdr:row>
      <xdr:rowOff>152400</xdr:rowOff>
    </xdr:from>
    <xdr:to>
      <xdr:col>4</xdr:col>
      <xdr:colOff>57150</xdr:colOff>
      <xdr:row>300</xdr:row>
      <xdr:rowOff>133350</xdr:rowOff>
    </xdr:to>
    <xdr:pic>
      <xdr:nvPicPr>
        <xdr:cNvPr id="34830" name="Picture 25" descr="BEAM-10">
          <a:extLst>
            <a:ext uri="{FF2B5EF4-FFF2-40B4-BE49-F238E27FC236}">
              <a16:creationId xmlns:a16="http://schemas.microsoft.com/office/drawing/2014/main" xmlns="" id="{6C93CA19-D875-4768-9DB8-4F27C4020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09700" y="46158150"/>
          <a:ext cx="3067050" cy="386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332</xdr:row>
      <xdr:rowOff>133350</xdr:rowOff>
    </xdr:from>
    <xdr:to>
      <xdr:col>4</xdr:col>
      <xdr:colOff>104775</xdr:colOff>
      <xdr:row>361</xdr:row>
      <xdr:rowOff>85725</xdr:rowOff>
    </xdr:to>
    <xdr:pic>
      <xdr:nvPicPr>
        <xdr:cNvPr id="34831" name="Picture 26" descr="BEAM-11">
          <a:extLst>
            <a:ext uri="{FF2B5EF4-FFF2-40B4-BE49-F238E27FC236}">
              <a16:creationId xmlns:a16="http://schemas.microsoft.com/office/drawing/2014/main" xmlns="" id="{BB61714D-F37F-406E-9A05-26587E11F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71625" y="55473600"/>
          <a:ext cx="2952750" cy="464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476250</xdr:colOff>
      <xdr:row>4</xdr:row>
      <xdr:rowOff>9525</xdr:rowOff>
    </xdr:from>
    <xdr:to>
      <xdr:col>1</xdr:col>
      <xdr:colOff>2238375</xdr:colOff>
      <xdr:row>23</xdr:row>
      <xdr:rowOff>152400</xdr:rowOff>
    </xdr:to>
    <xdr:sp macro="" textlink="">
      <xdr:nvSpPr>
        <xdr:cNvPr id="8219" name="Text Box 27">
          <a:extLst>
            <a:ext uri="{FF2B5EF4-FFF2-40B4-BE49-F238E27FC236}">
              <a16:creationId xmlns:a16="http://schemas.microsoft.com/office/drawing/2014/main" xmlns="" id="{890745EF-E215-4706-9CE1-1B2B109A0E15}"/>
            </a:ext>
          </a:extLst>
        </xdr:cNvPr>
        <xdr:cNvSpPr txBox="1">
          <a:spLocks noChangeArrowheads="1"/>
        </xdr:cNvSpPr>
      </xdr:nvSpPr>
      <xdr:spPr bwMode="auto">
        <a:xfrm>
          <a:off x="476250" y="733425"/>
          <a:ext cx="2371725" cy="3228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3366FF"/>
              </a:solidFill>
              <a:latin typeface="Arial"/>
              <a:cs typeface="Arial"/>
            </a:rPr>
            <a:t>BEAM CALCULATION METHOD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Step-1  Type beam load and properties data under "Input" below.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Step-2  Excel will, "Calculate" beam: shear, moment, and deflection due to the consentrated load "P" lbs and the distributed load "w" lbs/ft.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Notes: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1.  Distributed load w can include the weight of the beam pluss any additional distributed load.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2.  Do not delete load P when calculating the moment due to w and vise versa.</a:t>
          </a:r>
        </a:p>
      </xdr:txBody>
    </xdr:sp>
    <xdr:clientData/>
  </xdr:twoCellAnchor>
  <xdr:twoCellAnchor editAs="oneCell">
    <xdr:from>
      <xdr:col>1</xdr:col>
      <xdr:colOff>771525</xdr:colOff>
      <xdr:row>394</xdr:row>
      <xdr:rowOff>47625</xdr:rowOff>
    </xdr:from>
    <xdr:to>
      <xdr:col>4</xdr:col>
      <xdr:colOff>485775</xdr:colOff>
      <xdr:row>417</xdr:row>
      <xdr:rowOff>142875</xdr:rowOff>
    </xdr:to>
    <xdr:pic>
      <xdr:nvPicPr>
        <xdr:cNvPr id="34833" name="Picture 11" descr="BEAM FIXED &amp; DEFLECTED.jpg">
          <a:extLst>
            <a:ext uri="{FF2B5EF4-FFF2-40B4-BE49-F238E27FC236}">
              <a16:creationId xmlns:a16="http://schemas.microsoft.com/office/drawing/2014/main" xmlns="" id="{38B9E671-C4CD-428C-952D-D0D5B7817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1125" y="65732025"/>
          <a:ext cx="3524250" cy="381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28</xdr:row>
      <xdr:rowOff>28575</xdr:rowOff>
    </xdr:from>
    <xdr:to>
      <xdr:col>6</xdr:col>
      <xdr:colOff>285750</xdr:colOff>
      <xdr:row>54</xdr:row>
      <xdr:rowOff>123825</xdr:rowOff>
    </xdr:to>
    <xdr:pic>
      <xdr:nvPicPr>
        <xdr:cNvPr id="9841" name="Picture 5" descr="CONTINUOUS-1">
          <a:extLst>
            <a:ext uri="{FF2B5EF4-FFF2-40B4-BE49-F238E27FC236}">
              <a16:creationId xmlns:a16="http://schemas.microsoft.com/office/drawing/2014/main" xmlns="" id="{3FFA5F07-F686-4305-8E65-70E223112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0" y="4695825"/>
          <a:ext cx="5419725" cy="430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91</xdr:row>
      <xdr:rowOff>152400</xdr:rowOff>
    </xdr:from>
    <xdr:to>
      <xdr:col>6</xdr:col>
      <xdr:colOff>247650</xdr:colOff>
      <xdr:row>116</xdr:row>
      <xdr:rowOff>142875</xdr:rowOff>
    </xdr:to>
    <xdr:pic>
      <xdr:nvPicPr>
        <xdr:cNvPr id="9842" name="Picture 6" descr="CONTINUOUS-2">
          <a:extLst>
            <a:ext uri="{FF2B5EF4-FFF2-40B4-BE49-F238E27FC236}">
              <a16:creationId xmlns:a16="http://schemas.microsoft.com/office/drawing/2014/main" xmlns="" id="{42F6B7C9-F354-4759-9A0C-50209BCBE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" y="14897100"/>
          <a:ext cx="5210175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141</xdr:row>
      <xdr:rowOff>19050</xdr:rowOff>
    </xdr:from>
    <xdr:to>
      <xdr:col>6</xdr:col>
      <xdr:colOff>266700</xdr:colOff>
      <xdr:row>170</xdr:row>
      <xdr:rowOff>142875</xdr:rowOff>
    </xdr:to>
    <xdr:pic>
      <xdr:nvPicPr>
        <xdr:cNvPr id="9843" name="Picture 7" descr="CONTINUOUS-3">
          <a:extLst>
            <a:ext uri="{FF2B5EF4-FFF2-40B4-BE49-F238E27FC236}">
              <a16:creationId xmlns:a16="http://schemas.microsoft.com/office/drawing/2014/main" xmlns="" id="{C23EE826-162F-41AF-91D4-8F3D213D9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7675" y="23069550"/>
          <a:ext cx="5143500" cy="481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4</xdr:row>
      <xdr:rowOff>9525</xdr:rowOff>
    </xdr:from>
    <xdr:to>
      <xdr:col>1</xdr:col>
      <xdr:colOff>2247900</xdr:colOff>
      <xdr:row>24</xdr:row>
      <xdr:rowOff>85725</xdr:rowOff>
    </xdr:to>
    <xdr:sp macro="" textlink="">
      <xdr:nvSpPr>
        <xdr:cNvPr id="9224" name="Text Box 8">
          <a:extLst>
            <a:ext uri="{FF2B5EF4-FFF2-40B4-BE49-F238E27FC236}">
              <a16:creationId xmlns:a16="http://schemas.microsoft.com/office/drawing/2014/main" xmlns="" id="{564B6FEB-2837-4572-A535-3FE22ABBE813}"/>
            </a:ext>
          </a:extLst>
        </xdr:cNvPr>
        <xdr:cNvSpPr txBox="1">
          <a:spLocks noChangeArrowheads="1"/>
        </xdr:cNvSpPr>
      </xdr:nvSpPr>
      <xdr:spPr bwMode="auto">
        <a:xfrm>
          <a:off x="304800" y="733425"/>
          <a:ext cx="2343150" cy="3333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3366FF"/>
              </a:solidFill>
              <a:latin typeface="Arial"/>
              <a:cs typeface="Arial"/>
            </a:rPr>
            <a:t>BEAM CALCULATION METHOD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Step-1  Type beam load and properties data under "Input" below.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Step-2  Excel will, "Calculate" beam: shear, moment, and deflection due to the consentrated load "P" lbs and the distributed load "w" lbs/ft.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Notes: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1.  Distributed load w can include the weight of the beam pluss any additional distributed load.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2.  Do not delete load P when calculating the moment due to w and vise versa.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29</xdr:row>
      <xdr:rowOff>152400</xdr:rowOff>
    </xdr:from>
    <xdr:to>
      <xdr:col>6</xdr:col>
      <xdr:colOff>190500</xdr:colOff>
      <xdr:row>48</xdr:row>
      <xdr:rowOff>95251</xdr:rowOff>
    </xdr:to>
    <xdr:sp macro="" textlink="">
      <xdr:nvSpPr>
        <xdr:cNvPr id="15" name="Text Box 40">
          <a:extLst>
            <a:ext uri="{FF2B5EF4-FFF2-40B4-BE49-F238E27FC236}">
              <a16:creationId xmlns:a16="http://schemas.microsoft.com/office/drawing/2014/main" xmlns="" id="{C3E35046-12EE-4C91-8781-A9ECE01F587B}"/>
            </a:ext>
          </a:extLst>
        </xdr:cNvPr>
        <xdr:cNvSpPr txBox="1">
          <a:spLocks noChangeArrowheads="1"/>
        </xdr:cNvSpPr>
      </xdr:nvSpPr>
      <xdr:spPr bwMode="auto">
        <a:xfrm>
          <a:off x="609600" y="5000625"/>
          <a:ext cx="3952875" cy="30194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EXAMPLE-1: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SOLVE VECTOR PROBLEM WITH GOAL SEEK 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Design parameters can be optimized by using, Goal seek: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Set the above horizontal vector, H = 12 (blue cell C22), vertical vector, V = 6 (yellow cell C23), the resultant, R = 13.42 (green cell C26) and angle, A = 26.57 (cell C28).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Use "Goal Seek" to calculate the vertical force, V if the resultant, R is changed to 20 kips and the horizontal force, H remains unchanged at 12.0 kips.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Select the "live" formula cell above, (Green) C26.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Select: Tools &gt; Goal Seek &gt; Pick "To value:" &gt;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20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&gt; By changing: &gt; Pick number in the yellow cell, C23 &gt; OK.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3. The resultant R is changed to 20.0 (cell C26) and V is changed to 16 (cell C23).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304800</xdr:colOff>
      <xdr:row>4</xdr:row>
      <xdr:rowOff>95250</xdr:rowOff>
    </xdr:from>
    <xdr:to>
      <xdr:col>6</xdr:col>
      <xdr:colOff>390525</xdr:colOff>
      <xdr:row>17</xdr:row>
      <xdr:rowOff>142875</xdr:rowOff>
    </xdr:to>
    <xdr:sp macro="" textlink="">
      <xdr:nvSpPr>
        <xdr:cNvPr id="16" name="Text Box 41">
          <a:extLst>
            <a:ext uri="{FF2B5EF4-FFF2-40B4-BE49-F238E27FC236}">
              <a16:creationId xmlns:a16="http://schemas.microsoft.com/office/drawing/2014/main" xmlns="" id="{0B18D8BA-559F-40D7-AE50-4C2E8FA9D13D}"/>
            </a:ext>
          </a:extLst>
        </xdr:cNvPr>
        <xdr:cNvSpPr txBox="1">
          <a:spLocks noChangeArrowheads="1"/>
        </xdr:cNvSpPr>
      </xdr:nvSpPr>
      <xdr:spPr bwMode="auto">
        <a:xfrm>
          <a:off x="304800" y="847725"/>
          <a:ext cx="4733925" cy="2152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Spread Sheet Method: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Type in values for the </a:t>
          </a:r>
          <a:r>
            <a:rPr lang="en-US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input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data.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Excel will make the </a:t>
          </a:r>
          <a:r>
            <a:rPr lang="en-US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calculations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Excel's GOAL SEEK 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Excel's, "Goal Seek" adjusts one Input value to cause a Calculated formula cell to equal a given value.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When using Excel's Goal Seek, unprotect the spread sheet by selecting: Drop down menu: Tools &gt; Protection &gt; Unprotect Sheet &gt; OK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When Excel's Goal Seek is not needed, restore protection with: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Drop down menu: Tools &gt; Protection &gt; Protect Sheet &gt; OK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409575</xdr:colOff>
      <xdr:row>70</xdr:row>
      <xdr:rowOff>66675</xdr:rowOff>
    </xdr:from>
    <xdr:to>
      <xdr:col>6</xdr:col>
      <xdr:colOff>590550</xdr:colOff>
      <xdr:row>81</xdr:row>
      <xdr:rowOff>76200</xdr:rowOff>
    </xdr:to>
    <xdr:sp macro="" textlink="">
      <xdr:nvSpPr>
        <xdr:cNvPr id="17" name="Text Box 42">
          <a:extLst>
            <a:ext uri="{FF2B5EF4-FFF2-40B4-BE49-F238E27FC236}">
              <a16:creationId xmlns:a16="http://schemas.microsoft.com/office/drawing/2014/main" xmlns="" id="{E1832CF7-F6DE-4DB8-813A-EA068E9A76B2}"/>
            </a:ext>
          </a:extLst>
        </xdr:cNvPr>
        <xdr:cNvSpPr txBox="1">
          <a:spLocks noChangeArrowheads="1"/>
        </xdr:cNvSpPr>
      </xdr:nvSpPr>
      <xdr:spPr bwMode="auto">
        <a:xfrm>
          <a:off x="409575" y="11553825"/>
          <a:ext cx="4829175" cy="1790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PROBLEM-1: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DETERMINE GUSSET STRENGTH WITH GOAL SEEK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Two L4 x 3 x 3/8 inch angles made of ASTM A36 steel are connected to a 5/8 inch gusset plate, above. A36 steel has an ultimate strength, Su = 58 ksi and a yield stress, Sy = 36 ksi. (AISC code: load is in one leg of each angle, net angle area is only 85% effective)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Determine the allowable load, P for a safety factor of 2.0 if there are six 3/4 inch diameter bolts. Ans: 73 kips.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Use, "Goal Seek" to find the bolt diameter, D for a net area strength,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Ppt = 136 kips. Ans: 1.00 in dia. (Hint, pick live cell D128 first)</a:t>
          </a: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371475</xdr:colOff>
      <xdr:row>97</xdr:row>
      <xdr:rowOff>85725</xdr:rowOff>
    </xdr:from>
    <xdr:to>
      <xdr:col>6</xdr:col>
      <xdr:colOff>876300</xdr:colOff>
      <xdr:row>108</xdr:row>
      <xdr:rowOff>66675</xdr:rowOff>
    </xdr:to>
    <xdr:sp macro="" textlink="">
      <xdr:nvSpPr>
        <xdr:cNvPr id="18" name="Text Box 43">
          <a:extLst>
            <a:ext uri="{FF2B5EF4-FFF2-40B4-BE49-F238E27FC236}">
              <a16:creationId xmlns:a16="http://schemas.microsoft.com/office/drawing/2014/main" xmlns="" id="{A3C68134-1994-49DC-9F5D-861BD7E5D979}"/>
            </a:ext>
          </a:extLst>
        </xdr:cNvPr>
        <xdr:cNvSpPr txBox="1">
          <a:spLocks noChangeArrowheads="1"/>
        </xdr:cNvSpPr>
      </xdr:nvSpPr>
      <xdr:spPr bwMode="auto">
        <a:xfrm>
          <a:off x="4448175" y="17221200"/>
          <a:ext cx="1381125" cy="1762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Fastener Notes: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 Stresses are to be applied to nominal fastener diameter.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b Threads are include in the shear plane.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c Threads are exclude from the shear plane.</a:t>
          </a:r>
        </a:p>
      </xdr:txBody>
    </xdr:sp>
    <xdr:clientData/>
  </xdr:twoCellAnchor>
  <xdr:twoCellAnchor editAs="oneCell">
    <xdr:from>
      <xdr:col>0</xdr:col>
      <xdr:colOff>76200</xdr:colOff>
      <xdr:row>51</xdr:row>
      <xdr:rowOff>114300</xdr:rowOff>
    </xdr:from>
    <xdr:to>
      <xdr:col>6</xdr:col>
      <xdr:colOff>971550</xdr:colOff>
      <xdr:row>69</xdr:row>
      <xdr:rowOff>76200</xdr:rowOff>
    </xdr:to>
    <xdr:pic>
      <xdr:nvPicPr>
        <xdr:cNvPr id="35854" name="Picture 44" descr="GUSSTE-PLATE">
          <a:extLst>
            <a:ext uri="{FF2B5EF4-FFF2-40B4-BE49-F238E27FC236}">
              <a16:creationId xmlns:a16="http://schemas.microsoft.com/office/drawing/2014/main" xmlns="" id="{AEF70E72-4ACC-4220-BE32-848386033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" y="8820150"/>
          <a:ext cx="5543550" cy="287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447675</xdr:colOff>
      <xdr:row>19</xdr:row>
      <xdr:rowOff>57150</xdr:rowOff>
    </xdr:from>
    <xdr:to>
      <xdr:col>6</xdr:col>
      <xdr:colOff>581025</xdr:colOff>
      <xdr:row>28</xdr:row>
      <xdr:rowOff>9525</xdr:rowOff>
    </xdr:to>
    <xdr:pic>
      <xdr:nvPicPr>
        <xdr:cNvPr id="35855" name="Picture 45" descr="FORCE-VECTORS">
          <a:extLst>
            <a:ext uri="{FF2B5EF4-FFF2-40B4-BE49-F238E27FC236}">
              <a16:creationId xmlns:a16="http://schemas.microsoft.com/office/drawing/2014/main" xmlns="" id="{9A9CBF83-F1A1-4A4F-A2DB-EB4EB35C5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14675" y="3381375"/>
          <a:ext cx="21145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138</xdr:row>
      <xdr:rowOff>209550</xdr:rowOff>
    </xdr:from>
    <xdr:to>
      <xdr:col>6</xdr:col>
      <xdr:colOff>409575</xdr:colOff>
      <xdr:row>147</xdr:row>
      <xdr:rowOff>38100</xdr:rowOff>
    </xdr:to>
    <xdr:pic>
      <xdr:nvPicPr>
        <xdr:cNvPr id="35856" name="Picture 7" descr="GOAL-SEEK-1">
          <a:extLst>
            <a:ext uri="{FF2B5EF4-FFF2-40B4-BE49-F238E27FC236}">
              <a16:creationId xmlns:a16="http://schemas.microsoft.com/office/drawing/2014/main" xmlns="" id="{1702CF5E-A066-4B42-95E2-38E559654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90825" y="23183850"/>
          <a:ext cx="22669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174</xdr:row>
      <xdr:rowOff>85725</xdr:rowOff>
    </xdr:from>
    <xdr:to>
      <xdr:col>6</xdr:col>
      <xdr:colOff>676275</xdr:colOff>
      <xdr:row>192</xdr:row>
      <xdr:rowOff>123825</xdr:rowOff>
    </xdr:to>
    <xdr:pic>
      <xdr:nvPicPr>
        <xdr:cNvPr id="35857" name="Picture 8" descr="SOLVER-1">
          <a:extLst>
            <a:ext uri="{FF2B5EF4-FFF2-40B4-BE49-F238E27FC236}">
              <a16:creationId xmlns:a16="http://schemas.microsoft.com/office/drawing/2014/main" xmlns="" id="{35393715-7B4C-4CF6-87EE-0B932A8A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" y="29098875"/>
          <a:ext cx="5248275" cy="298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153</xdr:row>
      <xdr:rowOff>19050</xdr:rowOff>
    </xdr:from>
    <xdr:to>
      <xdr:col>5</xdr:col>
      <xdr:colOff>295275</xdr:colOff>
      <xdr:row>160</xdr:row>
      <xdr:rowOff>76200</xdr:rowOff>
    </xdr:to>
    <xdr:pic>
      <xdr:nvPicPr>
        <xdr:cNvPr id="35858" name="Picture 9" descr="SOLVER-2">
          <a:extLst>
            <a:ext uri="{FF2B5EF4-FFF2-40B4-BE49-F238E27FC236}">
              <a16:creationId xmlns:a16="http://schemas.microsoft.com/office/drawing/2014/main" xmlns="" id="{E0D0CEC9-DB2B-46D0-B6CD-B4184D2A4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1025" y="25527000"/>
          <a:ext cx="34861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438150</xdr:colOff>
      <xdr:row>17</xdr:row>
      <xdr:rowOff>123825</xdr:rowOff>
    </xdr:from>
    <xdr:to>
      <xdr:col>12</xdr:col>
      <xdr:colOff>142875</xdr:colOff>
      <xdr:row>26</xdr:row>
      <xdr:rowOff>123825</xdr:rowOff>
    </xdr:to>
    <xdr:pic>
      <xdr:nvPicPr>
        <xdr:cNvPr id="35859" name="Picture 10" descr="GOAL SEEK-12.jpg">
          <a:extLst>
            <a:ext uri="{FF2B5EF4-FFF2-40B4-BE49-F238E27FC236}">
              <a16:creationId xmlns:a16="http://schemas.microsoft.com/office/drawing/2014/main" xmlns="" id="{79E6377E-84B5-46DE-A784-089C09674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58000" y="3124200"/>
          <a:ext cx="21431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linsgroup.com/MECHANICAL_DESIGN/Beam/beam_formula.htm" TargetMode="External"/><Relationship Id="rId1" Type="http://schemas.openxmlformats.org/officeDocument/2006/relationships/hyperlink" Target="http://www.linsgroup.com/MECHANICAL_DESIGN/Beam/beam_formula.ht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4"/>
  <sheetViews>
    <sheetView tabSelected="1" zoomScaleNormal="100" workbookViewId="0">
      <selection activeCell="C79" sqref="C79"/>
    </sheetView>
  </sheetViews>
  <sheetFormatPr defaultRowHeight="12.75"/>
  <cols>
    <col min="1" max="1" width="5.140625" customWidth="1"/>
    <col min="2" max="2" width="36.85546875" customWidth="1"/>
    <col min="3" max="3" width="19.42578125" customWidth="1"/>
    <col min="5" max="5" width="9.85546875" customWidth="1"/>
    <col min="6" max="6" width="8" customWidth="1"/>
    <col min="8" max="8" width="8.7109375" customWidth="1"/>
    <col min="9" max="9" width="9.42578125" customWidth="1"/>
    <col min="10" max="10" width="11.5703125" customWidth="1"/>
    <col min="11" max="11" width="6.28515625" customWidth="1"/>
    <col min="12" max="12" width="10.42578125" customWidth="1"/>
    <col min="13" max="13" width="33.5703125" customWidth="1"/>
  </cols>
  <sheetData>
    <row r="1" spans="2:17" ht="18">
      <c r="B1" s="72" t="s">
        <v>547</v>
      </c>
      <c r="E1" s="177" t="s">
        <v>548</v>
      </c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</row>
    <row r="2" spans="2:17">
      <c r="B2" s="9" t="s">
        <v>515</v>
      </c>
      <c r="D2" s="9" t="s">
        <v>576</v>
      </c>
      <c r="G2" s="360" t="s">
        <v>558</v>
      </c>
      <c r="H2" s="288"/>
      <c r="I2" s="288"/>
      <c r="J2" s="127"/>
      <c r="K2" s="288"/>
      <c r="L2" s="288"/>
      <c r="M2" s="288"/>
      <c r="N2" s="288"/>
      <c r="O2" s="288"/>
      <c r="P2" s="288"/>
      <c r="Q2" s="288"/>
    </row>
    <row r="3" spans="2:17" ht="18">
      <c r="B3" s="11"/>
      <c r="G3" s="359" t="s">
        <v>577</v>
      </c>
      <c r="H3" s="127"/>
      <c r="I3" s="172"/>
      <c r="J3" s="127"/>
      <c r="K3" s="288"/>
      <c r="L3" s="288"/>
      <c r="M3" s="288"/>
      <c r="N3" s="288"/>
      <c r="O3" s="288"/>
      <c r="P3" s="288"/>
      <c r="Q3" s="288"/>
    </row>
    <row r="4" spans="2:17" ht="15.75">
      <c r="H4" s="127"/>
      <c r="I4" s="173"/>
      <c r="J4" s="173"/>
      <c r="K4" s="368"/>
      <c r="L4" s="368"/>
      <c r="M4" s="368"/>
      <c r="N4" s="288"/>
      <c r="O4" s="288"/>
      <c r="P4" s="288"/>
      <c r="Q4" s="288"/>
    </row>
    <row r="5" spans="2:17">
      <c r="G5" s="127"/>
      <c r="H5" s="127"/>
      <c r="I5" s="174"/>
      <c r="J5" s="175"/>
      <c r="K5" s="369"/>
      <c r="L5" s="370"/>
      <c r="M5" s="369"/>
      <c r="N5" s="288"/>
      <c r="O5" s="288"/>
      <c r="P5" s="288"/>
      <c r="Q5" s="288"/>
    </row>
    <row r="6" spans="2:17">
      <c r="G6" s="127"/>
      <c r="H6" s="127"/>
      <c r="I6" s="174"/>
      <c r="J6" s="175"/>
      <c r="K6" s="369"/>
      <c r="L6" s="370"/>
      <c r="M6" s="369"/>
      <c r="N6" s="288"/>
      <c r="O6" s="288"/>
      <c r="P6" s="288"/>
      <c r="Q6" s="288"/>
    </row>
    <row r="7" spans="2:17">
      <c r="G7" s="127"/>
      <c r="H7" s="127"/>
      <c r="I7" s="174"/>
      <c r="J7" s="175"/>
      <c r="K7" s="369"/>
      <c r="L7" s="370"/>
      <c r="M7" s="369"/>
      <c r="N7" s="288"/>
      <c r="O7" s="288"/>
      <c r="P7" s="288"/>
      <c r="Q7" s="288"/>
    </row>
    <row r="8" spans="2:17">
      <c r="G8" s="127"/>
      <c r="H8" s="127"/>
      <c r="I8" s="175"/>
      <c r="J8" s="175"/>
      <c r="K8" s="369"/>
      <c r="L8" s="370"/>
      <c r="M8" s="369"/>
      <c r="N8" s="288"/>
      <c r="O8" s="288"/>
      <c r="P8" s="288"/>
      <c r="Q8" s="288"/>
    </row>
    <row r="9" spans="2:17">
      <c r="G9" s="127"/>
      <c r="H9" s="127"/>
      <c r="I9" s="127"/>
      <c r="J9" s="127"/>
      <c r="K9" s="288"/>
      <c r="L9" s="288"/>
      <c r="M9" s="288"/>
      <c r="N9" s="371"/>
      <c r="O9" s="288"/>
      <c r="P9" s="288"/>
      <c r="Q9" s="288"/>
    </row>
    <row r="10" spans="2:17">
      <c r="G10" s="127"/>
      <c r="H10" s="127"/>
      <c r="I10" s="174"/>
      <c r="J10" s="175"/>
      <c r="K10" s="369"/>
      <c r="L10" s="370"/>
      <c r="M10" s="369"/>
      <c r="N10" s="371"/>
      <c r="O10" s="288"/>
      <c r="P10" s="288"/>
      <c r="Q10" s="288"/>
    </row>
    <row r="11" spans="2:17">
      <c r="G11" s="127"/>
      <c r="H11" s="127"/>
      <c r="I11" s="127"/>
      <c r="J11" s="127"/>
      <c r="K11" s="288"/>
      <c r="L11" s="288"/>
      <c r="M11" s="288"/>
      <c r="N11" s="288"/>
      <c r="O11" s="288"/>
      <c r="P11" s="288"/>
      <c r="Q11" s="288"/>
    </row>
    <row r="12" spans="2:17">
      <c r="G12" s="127"/>
      <c r="H12" s="127"/>
      <c r="I12" s="127"/>
      <c r="J12" s="127"/>
      <c r="K12" s="288"/>
      <c r="L12" s="288"/>
      <c r="M12" s="288"/>
      <c r="N12" s="288"/>
      <c r="O12" s="288"/>
      <c r="P12" s="288"/>
      <c r="Q12" s="288"/>
    </row>
    <row r="13" spans="2:17">
      <c r="G13" s="127"/>
      <c r="H13" s="127"/>
      <c r="I13" s="127"/>
      <c r="J13" s="127"/>
      <c r="K13" s="288"/>
      <c r="L13" s="288"/>
      <c r="M13" s="288"/>
      <c r="N13" s="288"/>
      <c r="O13" s="288"/>
      <c r="P13" s="288"/>
      <c r="Q13" s="288"/>
    </row>
    <row r="14" spans="2:17">
      <c r="G14" s="127"/>
      <c r="H14" s="127"/>
      <c r="I14" s="127"/>
      <c r="J14" s="127"/>
      <c r="K14" s="288"/>
      <c r="L14" s="288"/>
      <c r="M14" s="288"/>
      <c r="N14" s="288"/>
      <c r="O14" s="288"/>
      <c r="P14" s="288"/>
      <c r="Q14" s="288"/>
    </row>
    <row r="15" spans="2:17">
      <c r="G15" s="127"/>
      <c r="H15" s="127"/>
      <c r="I15" s="127"/>
      <c r="J15" s="127"/>
      <c r="K15" s="288"/>
      <c r="L15" s="288"/>
      <c r="M15" s="288"/>
      <c r="N15" s="288"/>
      <c r="O15" s="288"/>
      <c r="P15" s="288"/>
      <c r="Q15" s="288"/>
    </row>
    <row r="16" spans="2:17">
      <c r="G16" s="127"/>
      <c r="H16" s="127"/>
      <c r="I16" s="127"/>
      <c r="J16" s="127"/>
      <c r="K16" s="288"/>
      <c r="L16" s="288"/>
      <c r="M16" s="288"/>
      <c r="N16" s="288"/>
      <c r="O16" s="288"/>
      <c r="P16" s="288"/>
      <c r="Q16" s="288"/>
    </row>
    <row r="17" spans="7:17">
      <c r="G17" s="127"/>
      <c r="H17" s="127"/>
      <c r="I17" s="127"/>
      <c r="J17" s="127"/>
      <c r="K17" s="288"/>
      <c r="L17" s="288"/>
      <c r="M17" s="288"/>
      <c r="N17" s="288"/>
      <c r="O17" s="288"/>
      <c r="P17" s="288"/>
      <c r="Q17" s="288"/>
    </row>
    <row r="18" spans="7:17">
      <c r="G18" s="127"/>
      <c r="H18" s="127"/>
      <c r="I18" s="127"/>
      <c r="J18" s="127"/>
      <c r="K18" s="288"/>
      <c r="L18" s="288"/>
      <c r="M18" s="288"/>
      <c r="N18" s="288"/>
      <c r="O18" s="288"/>
      <c r="P18" s="288"/>
      <c r="Q18" s="288"/>
    </row>
    <row r="19" spans="7:17">
      <c r="G19" s="127"/>
      <c r="H19" s="127"/>
      <c r="I19" s="127"/>
      <c r="J19" s="127"/>
      <c r="K19" s="288"/>
      <c r="L19" s="288"/>
      <c r="M19" s="288"/>
      <c r="N19" s="288"/>
      <c r="O19" s="288"/>
      <c r="P19" s="288"/>
      <c r="Q19" s="288"/>
    </row>
    <row r="20" spans="7:17">
      <c r="G20" s="127"/>
      <c r="H20" s="127"/>
      <c r="I20" s="127"/>
      <c r="J20" s="127"/>
      <c r="K20" s="288"/>
      <c r="L20" s="288"/>
      <c r="M20" s="288"/>
      <c r="N20" s="288"/>
      <c r="O20" s="288"/>
      <c r="P20" s="288"/>
      <c r="Q20" s="288"/>
    </row>
    <row r="21" spans="7:17">
      <c r="G21" s="127"/>
      <c r="H21" s="127"/>
      <c r="I21" s="127"/>
      <c r="J21" s="127"/>
      <c r="K21" s="288"/>
      <c r="L21" s="288"/>
      <c r="M21" s="288"/>
      <c r="N21" s="288"/>
      <c r="O21" s="288"/>
      <c r="P21" s="288"/>
      <c r="Q21" s="288"/>
    </row>
    <row r="22" spans="7:17">
      <c r="G22" s="127"/>
      <c r="H22" s="127"/>
      <c r="I22" s="127"/>
      <c r="J22" s="127"/>
      <c r="K22" s="288"/>
      <c r="L22" s="288"/>
      <c r="M22" s="288"/>
      <c r="N22" s="288"/>
      <c r="O22" s="288"/>
      <c r="P22" s="288"/>
      <c r="Q22" s="288"/>
    </row>
    <row r="23" spans="7:17">
      <c r="G23" s="127"/>
      <c r="H23" s="127"/>
      <c r="I23" s="127"/>
      <c r="J23" s="127"/>
      <c r="K23" s="288"/>
      <c r="L23" s="288"/>
      <c r="M23" s="288"/>
      <c r="N23" s="288"/>
      <c r="O23" s="288"/>
      <c r="P23" s="288"/>
      <c r="Q23" s="288"/>
    </row>
    <row r="24" spans="7:17">
      <c r="G24" s="127"/>
      <c r="H24" s="127"/>
      <c r="I24" s="127"/>
      <c r="J24" s="127"/>
      <c r="K24" s="288"/>
      <c r="L24" s="288"/>
      <c r="M24" s="288"/>
      <c r="N24" s="288"/>
      <c r="O24" s="288"/>
      <c r="P24" s="288"/>
      <c r="Q24" s="288"/>
    </row>
    <row r="25" spans="7:17">
      <c r="G25" s="127"/>
      <c r="H25" s="314" t="s">
        <v>562</v>
      </c>
      <c r="I25" s="127"/>
      <c r="J25" s="127"/>
      <c r="K25" s="288"/>
      <c r="L25" s="288"/>
      <c r="M25" s="288"/>
      <c r="N25" s="288"/>
      <c r="O25" s="288"/>
      <c r="P25" s="288"/>
      <c r="Q25" s="288"/>
    </row>
    <row r="26" spans="7:17">
      <c r="G26" s="127"/>
      <c r="H26" s="127"/>
      <c r="I26" s="127"/>
      <c r="J26" s="127"/>
      <c r="K26" s="288"/>
      <c r="L26" s="288"/>
      <c r="M26" s="288"/>
      <c r="N26" s="288"/>
      <c r="O26" s="288"/>
      <c r="P26" s="288"/>
      <c r="Q26" s="288"/>
    </row>
    <row r="27" spans="7:17">
      <c r="G27" s="127"/>
      <c r="H27" s="127"/>
      <c r="I27" s="127"/>
      <c r="J27" s="127"/>
      <c r="K27" s="288"/>
      <c r="L27" s="288"/>
      <c r="M27" s="288"/>
      <c r="N27" s="288"/>
      <c r="O27" s="288"/>
      <c r="P27" s="288"/>
      <c r="Q27" s="288"/>
    </row>
    <row r="28" spans="7:17">
      <c r="G28" s="362" t="s">
        <v>565</v>
      </c>
      <c r="H28" s="127"/>
      <c r="I28" s="127"/>
      <c r="J28" s="127"/>
      <c r="K28" s="288"/>
      <c r="L28" s="288"/>
      <c r="M28" s="288"/>
      <c r="N28" s="288"/>
      <c r="O28" s="288"/>
      <c r="P28" s="288"/>
      <c r="Q28" s="288"/>
    </row>
    <row r="29" spans="7:17">
      <c r="G29" s="127"/>
      <c r="H29" s="127"/>
      <c r="I29" s="127"/>
      <c r="J29" s="127"/>
      <c r="K29" s="288"/>
      <c r="L29" s="288"/>
      <c r="M29" s="288"/>
      <c r="N29" s="288"/>
      <c r="O29" s="288"/>
      <c r="P29" s="288"/>
      <c r="Q29" s="288"/>
    </row>
    <row r="30" spans="7:17">
      <c r="G30" s="127"/>
      <c r="H30" s="363" t="s">
        <v>578</v>
      </c>
      <c r="I30" s="127"/>
      <c r="J30" s="127"/>
      <c r="K30" s="288"/>
      <c r="L30" s="288"/>
      <c r="M30" s="288"/>
      <c r="N30" s="288"/>
      <c r="O30" s="288"/>
      <c r="P30" s="288"/>
      <c r="Q30" s="288"/>
    </row>
    <row r="31" spans="7:17">
      <c r="G31" s="127"/>
      <c r="H31" s="127"/>
      <c r="I31" s="127"/>
      <c r="J31" s="127"/>
      <c r="K31" s="288"/>
      <c r="L31" s="288"/>
      <c r="M31" s="288"/>
      <c r="N31" s="288"/>
      <c r="O31" s="288"/>
      <c r="P31" s="288"/>
      <c r="Q31" s="288"/>
    </row>
    <row r="32" spans="7:17">
      <c r="G32" s="127"/>
      <c r="H32" s="127"/>
      <c r="I32" s="127"/>
      <c r="J32" s="127"/>
      <c r="K32" s="288"/>
      <c r="L32" s="288"/>
      <c r="M32" s="288"/>
      <c r="N32" s="288"/>
      <c r="O32" s="288"/>
      <c r="P32" s="288"/>
      <c r="Q32" s="288"/>
    </row>
    <row r="33" spans="7:17">
      <c r="G33" s="314" t="s">
        <v>563</v>
      </c>
      <c r="H33" s="127"/>
      <c r="I33" s="362" t="s">
        <v>48</v>
      </c>
      <c r="J33" s="127"/>
      <c r="K33" s="288"/>
      <c r="L33" s="288"/>
      <c r="M33" s="288"/>
      <c r="N33" s="288"/>
      <c r="O33" s="288"/>
      <c r="P33" s="288"/>
      <c r="Q33" s="288"/>
    </row>
    <row r="34" spans="7:17">
      <c r="G34" s="127"/>
      <c r="H34" s="127"/>
      <c r="I34" s="127"/>
      <c r="J34" s="127"/>
      <c r="K34" s="288"/>
      <c r="L34" s="288"/>
      <c r="M34" s="288"/>
      <c r="N34" s="288"/>
      <c r="O34" s="288"/>
      <c r="P34" s="288"/>
      <c r="Q34" s="288"/>
    </row>
    <row r="35" spans="7:17">
      <c r="G35" s="127"/>
      <c r="H35" s="361" t="s">
        <v>559</v>
      </c>
      <c r="I35" s="364">
        <v>2000</v>
      </c>
      <c r="J35" s="314" t="s">
        <v>16</v>
      </c>
      <c r="K35" s="288"/>
      <c r="L35" s="288"/>
      <c r="M35" s="288"/>
      <c r="N35" s="288"/>
      <c r="O35" s="288"/>
      <c r="P35" s="288"/>
      <c r="Q35" s="288"/>
    </row>
    <row r="36" spans="7:17">
      <c r="G36" s="127"/>
      <c r="H36" s="361" t="s">
        <v>560</v>
      </c>
      <c r="I36" s="364">
        <v>100</v>
      </c>
      <c r="J36" s="314" t="s">
        <v>20</v>
      </c>
      <c r="K36" s="288"/>
      <c r="L36" s="288"/>
      <c r="M36" s="288"/>
      <c r="N36" s="288"/>
      <c r="O36" s="288"/>
      <c r="P36" s="288"/>
      <c r="Q36" s="288"/>
    </row>
    <row r="37" spans="7:17">
      <c r="G37" s="127"/>
      <c r="H37" s="362" t="s">
        <v>568</v>
      </c>
      <c r="I37" s="363">
        <v>20</v>
      </c>
      <c r="J37" s="314" t="s">
        <v>20</v>
      </c>
      <c r="K37" s="288"/>
      <c r="L37" s="288"/>
      <c r="M37" s="288"/>
      <c r="N37" s="288"/>
      <c r="O37" s="288"/>
      <c r="P37" s="288"/>
      <c r="Q37" s="288"/>
    </row>
    <row r="38" spans="7:17">
      <c r="G38" s="127"/>
      <c r="H38" s="127"/>
      <c r="I38" s="127"/>
      <c r="J38" s="168"/>
      <c r="K38" s="288"/>
      <c r="L38" s="288"/>
      <c r="M38" s="288"/>
      <c r="N38" s="288"/>
      <c r="O38" s="288"/>
      <c r="P38" s="288"/>
      <c r="Q38" s="288"/>
    </row>
    <row r="39" spans="7:17">
      <c r="G39" s="127"/>
      <c r="H39" s="314" t="s">
        <v>564</v>
      </c>
      <c r="I39" s="314" t="s">
        <v>561</v>
      </c>
      <c r="J39" s="168"/>
      <c r="K39" s="288"/>
      <c r="L39" s="288"/>
      <c r="M39" s="288"/>
      <c r="N39" s="288"/>
      <c r="O39" s="288"/>
      <c r="P39" s="288"/>
      <c r="Q39" s="288"/>
    </row>
    <row r="40" spans="7:17">
      <c r="G40" s="127"/>
      <c r="H40" s="362" t="s">
        <v>566</v>
      </c>
      <c r="I40" s="314" t="s">
        <v>567</v>
      </c>
      <c r="J40" s="168"/>
      <c r="K40" s="288"/>
      <c r="L40" s="288"/>
      <c r="M40" s="288"/>
      <c r="N40" s="288"/>
      <c r="O40" s="288"/>
      <c r="P40" s="288"/>
      <c r="Q40" s="288"/>
    </row>
    <row r="41" spans="7:17">
      <c r="G41" s="127"/>
      <c r="H41" s="362" t="s">
        <v>569</v>
      </c>
      <c r="I41" s="314" t="s">
        <v>570</v>
      </c>
      <c r="J41" s="168"/>
      <c r="K41" s="288"/>
      <c r="L41" s="288"/>
      <c r="M41" s="288"/>
      <c r="N41" s="288"/>
      <c r="O41" s="288"/>
      <c r="P41" s="288"/>
      <c r="Q41" s="288"/>
    </row>
    <row r="42" spans="7:17">
      <c r="G42" s="127"/>
      <c r="H42" s="362" t="s">
        <v>6</v>
      </c>
      <c r="I42" s="314" t="s">
        <v>571</v>
      </c>
      <c r="J42" s="127"/>
      <c r="K42" s="288"/>
      <c r="L42" s="288"/>
      <c r="M42" s="288"/>
      <c r="N42" s="288"/>
      <c r="O42" s="288"/>
      <c r="P42" s="288"/>
      <c r="Q42" s="288"/>
    </row>
    <row r="43" spans="7:17">
      <c r="G43" s="127"/>
      <c r="H43" s="362" t="s">
        <v>6</v>
      </c>
      <c r="I43" s="365" t="s">
        <v>572</v>
      </c>
      <c r="J43" s="127"/>
      <c r="K43" s="288"/>
      <c r="L43" s="288"/>
      <c r="M43" s="288"/>
      <c r="N43" s="288"/>
      <c r="O43" s="288"/>
      <c r="P43" s="288"/>
      <c r="Q43" s="288"/>
    </row>
    <row r="44" spans="7:17">
      <c r="G44" s="127"/>
      <c r="H44" s="362" t="s">
        <v>6</v>
      </c>
      <c r="I44" s="363">
        <f>2000*20/100</f>
        <v>400</v>
      </c>
      <c r="J44" s="314" t="s">
        <v>16</v>
      </c>
      <c r="K44" s="288"/>
      <c r="L44" s="288"/>
      <c r="M44" s="288"/>
      <c r="N44" s="288"/>
      <c r="O44" s="288"/>
      <c r="P44" s="288"/>
      <c r="Q44" s="288"/>
    </row>
    <row r="45" spans="7:17">
      <c r="G45" s="127"/>
      <c r="H45" s="362" t="s">
        <v>573</v>
      </c>
      <c r="I45" s="314" t="s">
        <v>574</v>
      </c>
      <c r="J45" s="127"/>
      <c r="K45" s="288"/>
      <c r="L45" s="288"/>
      <c r="M45" s="288"/>
      <c r="N45" s="288"/>
      <c r="O45" s="288"/>
      <c r="P45" s="288"/>
      <c r="Q45" s="288"/>
    </row>
    <row r="46" spans="7:17">
      <c r="G46" s="127"/>
      <c r="H46" s="362" t="s">
        <v>6</v>
      </c>
      <c r="I46" s="365" t="s">
        <v>575</v>
      </c>
      <c r="J46" s="127"/>
      <c r="K46" s="288"/>
      <c r="L46" s="288"/>
      <c r="M46" s="288"/>
      <c r="N46" s="288"/>
      <c r="O46" s="288"/>
      <c r="P46" s="288"/>
      <c r="Q46" s="288"/>
    </row>
    <row r="47" spans="7:17">
      <c r="G47" s="127"/>
      <c r="H47" s="362" t="s">
        <v>6</v>
      </c>
      <c r="I47" s="168">
        <f>2000-400</f>
        <v>1600</v>
      </c>
      <c r="J47" s="314" t="s">
        <v>16</v>
      </c>
      <c r="K47" s="288"/>
      <c r="L47" s="288"/>
      <c r="M47" s="288"/>
      <c r="N47" s="288"/>
      <c r="O47" s="288"/>
      <c r="P47" s="288"/>
      <c r="Q47" s="288"/>
    </row>
    <row r="48" spans="7:17">
      <c r="G48" s="127"/>
      <c r="H48" s="128"/>
      <c r="I48" s="127"/>
      <c r="J48" s="127"/>
      <c r="K48" s="288"/>
      <c r="L48" s="288"/>
      <c r="M48" s="288"/>
      <c r="N48" s="288"/>
      <c r="O48" s="288"/>
      <c r="P48" s="288"/>
      <c r="Q48" s="288"/>
    </row>
    <row r="49" spans="2:17">
      <c r="G49" s="127"/>
      <c r="H49" s="127"/>
      <c r="I49" s="127"/>
      <c r="J49" s="127"/>
      <c r="K49" s="288"/>
      <c r="L49" s="288"/>
      <c r="M49" s="288"/>
      <c r="N49" s="288"/>
      <c r="O49" s="288"/>
      <c r="P49" s="288"/>
      <c r="Q49" s="288"/>
    </row>
    <row r="50" spans="2:17">
      <c r="G50" s="127"/>
      <c r="H50" s="127"/>
      <c r="I50" s="127"/>
      <c r="J50" s="127"/>
      <c r="K50" s="288"/>
      <c r="L50" s="288"/>
      <c r="M50" s="288"/>
      <c r="N50" s="288"/>
      <c r="O50" s="288"/>
      <c r="P50" s="288"/>
      <c r="Q50" s="288"/>
    </row>
    <row r="51" spans="2:17">
      <c r="G51" s="127"/>
      <c r="H51" s="127"/>
      <c r="I51" s="127"/>
      <c r="J51" s="127"/>
      <c r="K51" s="288"/>
      <c r="L51" s="288"/>
      <c r="M51" s="288"/>
      <c r="N51" s="288"/>
      <c r="O51" s="288"/>
      <c r="P51" s="288"/>
      <c r="Q51" s="288"/>
    </row>
    <row r="52" spans="2:17">
      <c r="G52" s="127"/>
      <c r="H52" s="127"/>
      <c r="I52" s="127"/>
      <c r="J52" s="127"/>
      <c r="K52" s="288"/>
      <c r="L52" s="288"/>
      <c r="M52" s="288"/>
      <c r="N52" s="288"/>
      <c r="O52" s="288"/>
      <c r="P52" s="288"/>
      <c r="Q52" s="288"/>
    </row>
    <row r="53" spans="2:17">
      <c r="G53" s="127"/>
      <c r="H53" s="127"/>
      <c r="I53" s="127"/>
      <c r="J53" s="127"/>
      <c r="K53" s="288"/>
      <c r="L53" s="288"/>
      <c r="M53" s="288"/>
      <c r="N53" s="288"/>
      <c r="O53" s="288"/>
      <c r="P53" s="288"/>
      <c r="Q53" s="288"/>
    </row>
    <row r="54" spans="2:17">
      <c r="G54" s="127"/>
      <c r="H54" s="127"/>
      <c r="I54" s="127"/>
      <c r="J54" s="127"/>
      <c r="K54" s="288"/>
      <c r="L54" s="288"/>
      <c r="M54" s="288"/>
      <c r="N54" s="288"/>
      <c r="O54" s="288"/>
      <c r="P54" s="288"/>
      <c r="Q54" s="288"/>
    </row>
    <row r="55" spans="2:17">
      <c r="G55" s="127"/>
      <c r="H55" s="127"/>
      <c r="I55" s="127"/>
      <c r="J55" s="127"/>
      <c r="K55" s="288"/>
      <c r="L55" s="288"/>
      <c r="M55" s="288"/>
      <c r="N55" s="288"/>
      <c r="O55" s="288"/>
      <c r="P55" s="288"/>
      <c r="Q55" s="288"/>
    </row>
    <row r="56" spans="2:17" ht="15">
      <c r="B56" s="1"/>
      <c r="C56" s="1"/>
      <c r="D56" s="1"/>
      <c r="G56" s="127"/>
      <c r="H56" s="127"/>
      <c r="I56" s="127"/>
      <c r="J56" s="127"/>
      <c r="K56" s="288"/>
      <c r="L56" s="288"/>
      <c r="M56" s="288"/>
      <c r="N56" s="288"/>
      <c r="O56" s="288"/>
      <c r="P56" s="288"/>
      <c r="Q56" s="288"/>
    </row>
    <row r="57" spans="2:17" ht="15">
      <c r="B57" s="1"/>
      <c r="C57" s="1"/>
      <c r="D57" s="1"/>
      <c r="G57" s="127"/>
      <c r="H57" s="127"/>
      <c r="I57" s="127"/>
      <c r="J57" s="127"/>
      <c r="K57" s="288"/>
      <c r="L57" s="288"/>
      <c r="M57" s="288"/>
      <c r="N57" s="288"/>
      <c r="O57" s="288"/>
      <c r="P57" s="288"/>
      <c r="Q57" s="288"/>
    </row>
    <row r="58" spans="2:17" ht="15">
      <c r="B58" s="1"/>
      <c r="C58" s="1"/>
      <c r="D58" s="1"/>
      <c r="G58" s="127"/>
      <c r="H58" s="127"/>
      <c r="I58" s="127"/>
      <c r="J58" s="127"/>
      <c r="K58" s="288"/>
      <c r="L58" s="288"/>
      <c r="M58" s="288"/>
      <c r="N58" s="288"/>
      <c r="O58" s="288"/>
      <c r="P58" s="288"/>
      <c r="Q58" s="288"/>
    </row>
    <row r="59" spans="2:17" ht="15">
      <c r="B59" s="1"/>
      <c r="C59" s="1"/>
      <c r="D59" s="1"/>
      <c r="G59" s="127"/>
      <c r="H59" s="127"/>
      <c r="I59" s="127"/>
      <c r="J59" s="127"/>
      <c r="K59" s="288"/>
      <c r="L59" s="288"/>
      <c r="M59" s="288"/>
      <c r="N59" s="288"/>
      <c r="O59" s="288"/>
      <c r="P59" s="288"/>
      <c r="Q59" s="288"/>
    </row>
    <row r="60" spans="2:17" ht="15">
      <c r="B60" s="1"/>
      <c r="C60" s="1"/>
      <c r="D60" s="1"/>
      <c r="G60" s="127"/>
      <c r="H60" s="127"/>
      <c r="I60" s="127"/>
      <c r="J60" s="127"/>
      <c r="K60" s="288"/>
      <c r="L60" s="288"/>
      <c r="M60" s="288"/>
      <c r="N60" s="288"/>
      <c r="O60" s="288"/>
      <c r="P60" s="288"/>
      <c r="Q60" s="288"/>
    </row>
    <row r="61" spans="2:17" ht="15">
      <c r="B61" s="1"/>
      <c r="C61" s="1"/>
      <c r="D61" s="1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</row>
    <row r="62" spans="2:17" ht="15">
      <c r="B62" s="1"/>
      <c r="C62" s="1"/>
      <c r="D62" s="1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</row>
    <row r="63" spans="2:17" ht="15">
      <c r="B63" s="1"/>
      <c r="C63" s="1"/>
      <c r="D63" s="1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</row>
    <row r="64" spans="2:17" ht="15.75" thickBot="1">
      <c r="B64" s="1" t="s">
        <v>170</v>
      </c>
      <c r="C64" s="2" t="s">
        <v>0</v>
      </c>
      <c r="D64" s="1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</row>
    <row r="65" spans="2:17" ht="15.75" thickBot="1">
      <c r="B65" s="3" t="s">
        <v>1</v>
      </c>
      <c r="C65" s="4">
        <v>12</v>
      </c>
      <c r="D65" s="1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</row>
    <row r="66" spans="2:17" ht="15.75" thickBot="1">
      <c r="B66" s="3" t="s">
        <v>2</v>
      </c>
      <c r="C66" s="5">
        <v>6</v>
      </c>
      <c r="D66" s="1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</row>
    <row r="67" spans="2:17"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</row>
    <row r="68" spans="2:17" ht="15">
      <c r="B68" s="98" t="s">
        <v>169</v>
      </c>
      <c r="C68" s="2" t="s">
        <v>3</v>
      </c>
      <c r="D68" s="1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</row>
    <row r="69" spans="2:17" ht="15.75" thickBot="1">
      <c r="B69" s="3" t="s">
        <v>4</v>
      </c>
      <c r="C69" s="6" t="s">
        <v>5</v>
      </c>
      <c r="D69" s="1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</row>
    <row r="70" spans="2:17" ht="15.75" thickBot="1">
      <c r="B70" s="7" t="s">
        <v>6</v>
      </c>
      <c r="C70" s="8">
        <f>( $C$65^2 + $C$66^2 )^(1/2)</f>
        <v>13.416407864998739</v>
      </c>
      <c r="D70" s="1" t="s">
        <v>291</v>
      </c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</row>
    <row r="71" spans="2:17" ht="15">
      <c r="B71" s="3" t="s">
        <v>7</v>
      </c>
      <c r="C71" s="9" t="s">
        <v>8</v>
      </c>
      <c r="D71" s="1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</row>
    <row r="72" spans="2:17" ht="15">
      <c r="B72" s="1"/>
      <c r="C72" s="10">
        <f>57.3 * ATAN($C$66 / $C$65)</f>
        <v>26.567007995746188</v>
      </c>
      <c r="D72" s="67" t="s">
        <v>9</v>
      </c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</row>
    <row r="73" spans="2:17"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</row>
    <row r="74" spans="2:17" ht="15">
      <c r="B74" s="99" t="s">
        <v>171</v>
      </c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</row>
    <row r="75" spans="2:17" ht="15">
      <c r="B75" s="99" t="s">
        <v>292</v>
      </c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</row>
    <row r="76" spans="2:17"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</row>
    <row r="77" spans="2:17" ht="15.75" thickBot="1">
      <c r="B77" s="1"/>
      <c r="C77" s="2" t="s">
        <v>0</v>
      </c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</row>
    <row r="78" spans="2:17" ht="13.5" thickBot="1">
      <c r="B78" s="3" t="s">
        <v>1</v>
      </c>
      <c r="C78" s="4">
        <v>12</v>
      </c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</row>
    <row r="79" spans="2:17" ht="15.75" thickBot="1">
      <c r="B79" s="3" t="s">
        <v>2</v>
      </c>
      <c r="C79" s="5">
        <v>8.999975390504007</v>
      </c>
      <c r="D79" s="1" t="s">
        <v>294</v>
      </c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</row>
    <row r="80" spans="2:17">
      <c r="C80" s="2" t="s">
        <v>3</v>
      </c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</row>
    <row r="81" spans="2:17" ht="15.75" thickBot="1">
      <c r="B81" s="3" t="s">
        <v>4</v>
      </c>
      <c r="C81" s="6" t="s">
        <v>5</v>
      </c>
      <c r="D81" s="1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</row>
    <row r="82" spans="2:17" ht="15.75" thickBot="1">
      <c r="B82" s="7" t="s">
        <v>6</v>
      </c>
      <c r="C82" s="8">
        <f>( C78^2 + C79^2 )^(1/2)</f>
        <v>14.999985234315325</v>
      </c>
      <c r="D82" s="1" t="s">
        <v>293</v>
      </c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</row>
    <row r="83" spans="2:17" ht="15">
      <c r="B83" s="3" t="s">
        <v>7</v>
      </c>
      <c r="C83" s="9" t="s">
        <v>8</v>
      </c>
      <c r="D83" s="1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</row>
    <row r="84" spans="2:17" ht="15">
      <c r="B84" s="1"/>
      <c r="C84" s="10">
        <f>57.3 * ATAN(C79 / C78)</f>
        <v>36.872538327161408</v>
      </c>
      <c r="D84" s="67" t="s">
        <v>9</v>
      </c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</row>
    <row r="85" spans="2:17"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</row>
    <row r="86" spans="2:17" ht="15">
      <c r="B86" s="1" t="s">
        <v>579</v>
      </c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</row>
    <row r="87" spans="2:17"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</row>
    <row r="88" spans="2:17">
      <c r="G88" s="127"/>
      <c r="H88" s="127"/>
      <c r="I88" s="127"/>
      <c r="J88" s="127"/>
      <c r="K88" s="288"/>
      <c r="L88" s="288"/>
      <c r="M88" s="288"/>
      <c r="N88" s="288"/>
      <c r="O88" s="288"/>
      <c r="P88" s="288"/>
    </row>
    <row r="89" spans="2:17">
      <c r="G89" s="127"/>
      <c r="H89" s="127"/>
      <c r="I89" s="127"/>
      <c r="J89" s="127"/>
      <c r="K89" s="288"/>
      <c r="L89" s="288"/>
      <c r="M89" s="288"/>
      <c r="N89" s="288"/>
      <c r="O89" s="288"/>
      <c r="P89" s="288"/>
    </row>
    <row r="90" spans="2:17">
      <c r="G90" s="127"/>
      <c r="H90" s="127"/>
      <c r="I90" s="127"/>
      <c r="J90" s="127"/>
      <c r="K90" s="288"/>
      <c r="L90" s="288"/>
      <c r="M90" s="288"/>
      <c r="N90" s="288"/>
      <c r="O90" s="288"/>
      <c r="P90" s="288"/>
    </row>
    <row r="91" spans="2:17">
      <c r="G91" s="127"/>
      <c r="H91" s="127"/>
      <c r="I91" s="127"/>
      <c r="J91" s="127"/>
      <c r="K91" s="288"/>
      <c r="L91" s="288"/>
      <c r="M91" s="288"/>
      <c r="N91" s="288"/>
      <c r="O91" s="288"/>
      <c r="P91" s="288"/>
    </row>
    <row r="92" spans="2:17">
      <c r="G92" s="127"/>
      <c r="H92" s="127"/>
      <c r="I92" s="127"/>
      <c r="J92" s="127"/>
      <c r="K92" s="288"/>
      <c r="L92" s="288"/>
      <c r="M92" s="288"/>
      <c r="N92" s="288"/>
      <c r="O92" s="288"/>
      <c r="P92" s="288"/>
    </row>
    <row r="93" spans="2:17">
      <c r="G93" s="127"/>
      <c r="H93" s="127"/>
      <c r="I93" s="127"/>
      <c r="J93" s="127"/>
      <c r="K93" s="288"/>
      <c r="L93" s="288"/>
      <c r="M93" s="288"/>
      <c r="N93" s="288"/>
      <c r="O93" s="288"/>
      <c r="P93" s="288"/>
    </row>
    <row r="94" spans="2:17">
      <c r="G94" s="127"/>
      <c r="H94" s="127"/>
      <c r="I94" s="127"/>
      <c r="J94" s="127"/>
      <c r="K94" s="288"/>
      <c r="L94" s="288"/>
      <c r="M94" s="288"/>
      <c r="N94" s="288"/>
      <c r="O94" s="288"/>
      <c r="P94" s="288"/>
    </row>
    <row r="95" spans="2:17">
      <c r="G95" s="127"/>
      <c r="H95" s="127"/>
      <c r="I95" s="127"/>
      <c r="J95" s="127"/>
      <c r="K95" s="288"/>
      <c r="L95" s="288"/>
      <c r="M95" s="288"/>
      <c r="N95" s="288"/>
      <c r="O95" s="288"/>
      <c r="P95" s="288"/>
    </row>
    <row r="96" spans="2:17" ht="18">
      <c r="B96" s="72" t="s">
        <v>295</v>
      </c>
      <c r="G96" s="127"/>
      <c r="H96" s="127"/>
      <c r="I96" s="127"/>
      <c r="J96" s="127"/>
      <c r="K96" s="288"/>
      <c r="L96" s="288"/>
      <c r="M96" s="288"/>
      <c r="N96" s="288"/>
      <c r="O96" s="288"/>
      <c r="P96" s="288"/>
    </row>
    <row r="97" spans="7:16">
      <c r="G97" s="127"/>
      <c r="H97" s="127"/>
      <c r="I97" s="127"/>
      <c r="J97" s="127"/>
      <c r="K97" s="288"/>
      <c r="L97" s="288"/>
      <c r="M97" s="288"/>
      <c r="N97" s="288"/>
      <c r="O97" s="288"/>
      <c r="P97" s="288"/>
    </row>
    <row r="98" spans="7:16">
      <c r="G98" s="127"/>
      <c r="H98" s="127"/>
      <c r="I98" s="127"/>
      <c r="J98" s="127"/>
      <c r="K98" s="288"/>
      <c r="L98" s="288"/>
      <c r="M98" s="288"/>
      <c r="N98" s="288"/>
      <c r="O98" s="288"/>
      <c r="P98" s="288"/>
    </row>
    <row r="99" spans="7:16">
      <c r="G99" s="127"/>
      <c r="H99" s="127"/>
      <c r="I99" s="127"/>
      <c r="J99" s="127"/>
      <c r="K99" s="288"/>
      <c r="L99" s="288"/>
      <c r="M99" s="288"/>
      <c r="N99" s="288"/>
      <c r="O99" s="288"/>
      <c r="P99" s="288"/>
    </row>
    <row r="100" spans="7:16">
      <c r="G100" s="127"/>
      <c r="H100" s="127"/>
      <c r="I100" s="127"/>
      <c r="J100" s="127"/>
      <c r="K100" s="288"/>
      <c r="L100" s="288"/>
      <c r="M100" s="288"/>
      <c r="N100" s="288"/>
      <c r="O100" s="288"/>
      <c r="P100" s="288"/>
    </row>
    <row r="101" spans="7:16">
      <c r="G101" s="127"/>
      <c r="H101" s="127"/>
      <c r="I101" s="127"/>
      <c r="J101" s="127"/>
      <c r="K101" s="288"/>
      <c r="L101" s="288"/>
      <c r="M101" s="288"/>
      <c r="N101" s="288"/>
      <c r="O101" s="288"/>
      <c r="P101" s="288"/>
    </row>
    <row r="102" spans="7:16">
      <c r="G102" s="127"/>
      <c r="H102" s="127"/>
      <c r="I102" s="127"/>
      <c r="J102" s="127"/>
      <c r="K102" s="288"/>
      <c r="L102" s="288"/>
      <c r="M102" s="288"/>
      <c r="N102" s="288"/>
      <c r="O102" s="288"/>
      <c r="P102" s="288"/>
    </row>
    <row r="103" spans="7:16">
      <c r="G103" s="127"/>
      <c r="H103" s="127"/>
      <c r="I103" s="127"/>
      <c r="J103" s="127"/>
      <c r="K103" s="288"/>
      <c r="L103" s="288"/>
      <c r="M103" s="288"/>
      <c r="N103" s="288"/>
      <c r="O103" s="288"/>
      <c r="P103" s="288"/>
    </row>
    <row r="104" spans="7:16">
      <c r="G104" s="127"/>
      <c r="H104" s="127"/>
      <c r="I104" s="127"/>
      <c r="J104" s="127"/>
      <c r="K104" s="288"/>
      <c r="L104" s="288"/>
      <c r="M104" s="288"/>
      <c r="N104" s="288"/>
      <c r="O104" s="288"/>
      <c r="P104" s="288"/>
    </row>
    <row r="105" spans="7:16">
      <c r="G105" s="127"/>
      <c r="H105" s="127"/>
      <c r="I105" s="127"/>
      <c r="J105" s="127"/>
      <c r="K105" s="288"/>
      <c r="L105" s="288"/>
      <c r="M105" s="288"/>
      <c r="N105" s="288"/>
      <c r="O105" s="288"/>
      <c r="P105" s="288"/>
    </row>
    <row r="106" spans="7:16">
      <c r="G106" s="127"/>
      <c r="H106" s="127"/>
      <c r="I106" s="127"/>
      <c r="J106" s="127"/>
      <c r="K106" s="288"/>
      <c r="L106" s="288"/>
      <c r="M106" s="288"/>
      <c r="N106" s="288"/>
      <c r="O106" s="288"/>
      <c r="P106" s="288"/>
    </row>
    <row r="107" spans="7:16">
      <c r="G107" s="127"/>
      <c r="H107" s="127"/>
      <c r="I107" s="127"/>
      <c r="J107" s="127"/>
      <c r="K107" s="288"/>
      <c r="L107" s="288"/>
      <c r="M107" s="288"/>
      <c r="N107" s="288"/>
      <c r="O107" s="288"/>
      <c r="P107" s="288"/>
    </row>
    <row r="108" spans="7:16">
      <c r="G108" s="127"/>
      <c r="H108" s="127"/>
      <c r="I108" s="127"/>
      <c r="J108" s="127"/>
      <c r="K108" s="288"/>
      <c r="L108" s="288"/>
      <c r="M108" s="288"/>
      <c r="N108" s="288"/>
      <c r="O108" s="288"/>
      <c r="P108" s="288"/>
    </row>
    <row r="109" spans="7:16">
      <c r="G109" s="127"/>
      <c r="H109" s="127"/>
      <c r="I109" s="127"/>
      <c r="J109" s="127"/>
      <c r="K109" s="288"/>
      <c r="L109" s="288"/>
      <c r="M109" s="288"/>
      <c r="N109" s="288"/>
      <c r="O109" s="288"/>
      <c r="P109" s="288"/>
    </row>
    <row r="110" spans="7:16">
      <c r="G110" s="127"/>
      <c r="H110" s="127"/>
      <c r="I110" s="127"/>
      <c r="J110" s="127"/>
      <c r="K110" s="288"/>
      <c r="L110" s="288"/>
      <c r="M110" s="288"/>
      <c r="N110" s="288"/>
      <c r="O110" s="288"/>
      <c r="P110" s="288"/>
    </row>
    <row r="111" spans="7:16">
      <c r="G111" s="127"/>
      <c r="H111" s="127"/>
      <c r="I111" s="127"/>
      <c r="J111" s="127"/>
      <c r="K111" s="288"/>
      <c r="L111" s="288"/>
      <c r="M111" s="288"/>
      <c r="N111" s="288"/>
      <c r="O111" s="288"/>
      <c r="P111" s="288"/>
    </row>
    <row r="112" spans="7:16">
      <c r="G112" s="127"/>
      <c r="H112" s="127"/>
      <c r="I112" s="127"/>
      <c r="J112" s="127"/>
      <c r="K112" s="288"/>
      <c r="L112" s="288"/>
      <c r="M112" s="288"/>
      <c r="N112" s="288"/>
      <c r="O112" s="288"/>
      <c r="P112" s="288"/>
    </row>
    <row r="113" spans="7:16">
      <c r="G113" s="127"/>
      <c r="H113" s="127"/>
      <c r="I113" s="127"/>
      <c r="J113" s="127"/>
      <c r="K113" s="288"/>
      <c r="L113" s="288"/>
      <c r="M113" s="288"/>
      <c r="N113" s="288"/>
      <c r="O113" s="288"/>
      <c r="P113" s="288"/>
    </row>
    <row r="114" spans="7:16">
      <c r="G114" s="127"/>
      <c r="H114" s="127"/>
      <c r="I114" s="127"/>
      <c r="J114" s="127"/>
      <c r="K114" s="288"/>
      <c r="L114" s="288"/>
      <c r="M114" s="288"/>
      <c r="N114" s="288"/>
      <c r="O114" s="288"/>
      <c r="P114" s="288"/>
    </row>
    <row r="115" spans="7:16">
      <c r="G115" s="127"/>
      <c r="H115" s="127"/>
      <c r="I115" s="127"/>
      <c r="J115" s="127"/>
      <c r="K115" s="288"/>
      <c r="L115" s="288"/>
      <c r="M115" s="288"/>
      <c r="N115" s="288"/>
      <c r="O115" s="288"/>
      <c r="P115" s="288"/>
    </row>
    <row r="116" spans="7:16">
      <c r="G116" s="127"/>
      <c r="H116" s="127"/>
      <c r="I116" s="127"/>
      <c r="J116" s="127"/>
      <c r="K116" s="288"/>
      <c r="L116" s="288"/>
      <c r="M116" s="288"/>
      <c r="N116" s="288"/>
      <c r="O116" s="288"/>
      <c r="P116" s="288"/>
    </row>
    <row r="117" spans="7:16">
      <c r="G117" s="127"/>
      <c r="H117" s="127"/>
      <c r="I117" s="127"/>
      <c r="J117" s="127"/>
      <c r="K117" s="288"/>
      <c r="L117" s="288"/>
      <c r="M117" s="288"/>
      <c r="N117" s="288"/>
      <c r="O117" s="288"/>
      <c r="P117" s="288"/>
    </row>
    <row r="118" spans="7:16">
      <c r="G118" s="127"/>
      <c r="H118" s="127"/>
      <c r="I118" s="127"/>
      <c r="J118" s="127"/>
      <c r="K118" s="288"/>
      <c r="L118" s="288"/>
      <c r="M118" s="288"/>
      <c r="N118" s="288"/>
      <c r="O118" s="288"/>
      <c r="P118" s="288"/>
    </row>
    <row r="119" spans="7:16">
      <c r="G119" s="127"/>
      <c r="H119" s="127"/>
      <c r="I119" s="127"/>
      <c r="J119" s="127"/>
      <c r="K119" s="288"/>
      <c r="L119" s="288"/>
      <c r="M119" s="288"/>
      <c r="N119" s="288"/>
      <c r="O119" s="288"/>
      <c r="P119" s="288"/>
    </row>
    <row r="120" spans="7:16">
      <c r="G120" s="127"/>
      <c r="H120" s="127"/>
      <c r="I120" s="127"/>
      <c r="J120" s="127"/>
      <c r="K120" s="288"/>
      <c r="L120" s="288"/>
      <c r="M120" s="288"/>
      <c r="N120" s="288"/>
      <c r="O120" s="288"/>
      <c r="P120" s="288"/>
    </row>
    <row r="121" spans="7:16">
      <c r="G121" s="127"/>
      <c r="H121" s="127"/>
      <c r="I121" s="127"/>
      <c r="J121" s="127"/>
      <c r="K121" s="288"/>
      <c r="L121" s="288"/>
      <c r="M121" s="288"/>
      <c r="N121" s="288"/>
      <c r="O121" s="288"/>
      <c r="P121" s="288"/>
    </row>
    <row r="122" spans="7:16">
      <c r="G122" s="127"/>
      <c r="H122" s="127"/>
      <c r="I122" s="127"/>
      <c r="J122" s="127"/>
      <c r="K122" s="288"/>
      <c r="L122" s="288"/>
      <c r="M122" s="288"/>
      <c r="N122" s="288"/>
      <c r="O122" s="288"/>
      <c r="P122" s="288"/>
    </row>
    <row r="123" spans="7:16">
      <c r="G123" s="127"/>
      <c r="H123" s="127"/>
      <c r="I123" s="127"/>
      <c r="J123" s="127"/>
      <c r="K123" s="288"/>
      <c r="L123" s="288"/>
      <c r="M123" s="288"/>
      <c r="N123" s="288"/>
      <c r="O123" s="288"/>
      <c r="P123" s="288"/>
    </row>
    <row r="124" spans="7:16">
      <c r="G124" s="127"/>
      <c r="H124" s="127"/>
      <c r="I124" s="127"/>
      <c r="J124" s="127"/>
      <c r="K124" s="288"/>
      <c r="L124" s="288"/>
      <c r="M124" s="288"/>
      <c r="N124" s="288"/>
      <c r="O124" s="288"/>
      <c r="P124" s="288"/>
    </row>
    <row r="125" spans="7:16">
      <c r="G125" s="127"/>
      <c r="H125" s="127"/>
      <c r="I125" s="127"/>
      <c r="J125" s="127"/>
      <c r="K125" s="288"/>
      <c r="L125" s="288"/>
      <c r="M125" s="288"/>
      <c r="N125" s="288"/>
      <c r="O125" s="288"/>
      <c r="P125" s="288"/>
    </row>
    <row r="126" spans="7:16">
      <c r="G126" s="127"/>
      <c r="H126" s="127"/>
      <c r="I126" s="127"/>
      <c r="J126" s="127"/>
      <c r="K126" s="288"/>
      <c r="L126" s="288"/>
      <c r="M126" s="288"/>
      <c r="N126" s="288"/>
      <c r="O126" s="288"/>
      <c r="P126" s="288"/>
    </row>
    <row r="127" spans="7:16">
      <c r="G127" s="127"/>
      <c r="H127" s="127"/>
      <c r="I127" s="127"/>
      <c r="J127" s="127"/>
      <c r="K127" s="288"/>
      <c r="L127" s="288"/>
      <c r="M127" s="288"/>
      <c r="N127" s="288"/>
      <c r="O127" s="288"/>
      <c r="P127" s="288"/>
    </row>
    <row r="128" spans="7:16">
      <c r="G128" s="127"/>
      <c r="H128" s="127"/>
      <c r="I128" s="127"/>
      <c r="J128" s="127"/>
      <c r="K128" s="288"/>
      <c r="L128" s="288"/>
      <c r="M128" s="288"/>
      <c r="N128" s="288"/>
      <c r="O128" s="288"/>
      <c r="P128" s="288"/>
    </row>
    <row r="129" spans="7:16">
      <c r="G129" s="127"/>
      <c r="H129" s="127"/>
      <c r="I129" s="127"/>
      <c r="J129" s="127"/>
      <c r="K129" s="288"/>
      <c r="L129" s="288"/>
      <c r="M129" s="288"/>
      <c r="N129" s="288"/>
      <c r="O129" s="288"/>
      <c r="P129" s="288"/>
    </row>
    <row r="130" spans="7:16">
      <c r="G130" s="127"/>
      <c r="H130" s="127"/>
      <c r="I130" s="127"/>
      <c r="J130" s="127"/>
      <c r="K130" s="288"/>
      <c r="L130" s="288"/>
      <c r="M130" s="288"/>
      <c r="N130" s="288"/>
      <c r="O130" s="288"/>
      <c r="P130" s="288"/>
    </row>
    <row r="131" spans="7:16">
      <c r="G131" s="127"/>
      <c r="H131" s="127"/>
      <c r="I131" s="127"/>
      <c r="J131" s="127"/>
      <c r="K131" s="288"/>
      <c r="L131" s="288"/>
      <c r="M131" s="288"/>
      <c r="N131" s="288"/>
      <c r="O131" s="288"/>
      <c r="P131" s="288"/>
    </row>
    <row r="132" spans="7:16">
      <c r="G132" s="127"/>
      <c r="H132" s="127"/>
      <c r="I132" s="127"/>
      <c r="J132" s="127"/>
      <c r="K132" s="288"/>
      <c r="L132" s="288"/>
      <c r="M132" s="288"/>
      <c r="N132" s="288"/>
      <c r="O132" s="288"/>
      <c r="P132" s="288"/>
    </row>
    <row r="133" spans="7:16">
      <c r="G133" s="127"/>
      <c r="H133" s="127"/>
      <c r="I133" s="127"/>
      <c r="J133" s="127"/>
      <c r="K133" s="288"/>
      <c r="L133" s="288"/>
      <c r="M133" s="288"/>
      <c r="N133" s="288"/>
      <c r="O133" s="288"/>
      <c r="P133" s="288"/>
    </row>
    <row r="134" spans="7:16">
      <c r="G134" s="127"/>
      <c r="H134" s="127"/>
      <c r="I134" s="127"/>
      <c r="J134" s="127"/>
      <c r="K134" s="288"/>
      <c r="L134" s="288"/>
      <c r="M134" s="288"/>
      <c r="N134" s="288"/>
      <c r="O134" s="288"/>
      <c r="P134" s="288"/>
    </row>
    <row r="135" spans="7:16">
      <c r="G135" s="127"/>
      <c r="H135" s="127"/>
      <c r="I135" s="127"/>
      <c r="J135" s="127"/>
      <c r="K135" s="288"/>
      <c r="L135" s="288"/>
      <c r="M135" s="288"/>
      <c r="N135" s="288"/>
      <c r="O135" s="288"/>
      <c r="P135" s="288"/>
    </row>
    <row r="136" spans="7:16">
      <c r="G136" s="127"/>
      <c r="H136" s="127"/>
      <c r="I136" s="127"/>
      <c r="J136" s="127"/>
      <c r="K136" s="288"/>
      <c r="L136" s="288"/>
      <c r="M136" s="288"/>
      <c r="N136" s="288"/>
      <c r="O136" s="288"/>
      <c r="P136" s="288"/>
    </row>
    <row r="137" spans="7:16">
      <c r="G137" s="127"/>
      <c r="H137" s="127"/>
      <c r="I137" s="127"/>
      <c r="J137" s="127"/>
      <c r="K137" s="288"/>
      <c r="L137" s="288"/>
      <c r="M137" s="288"/>
      <c r="N137" s="288"/>
      <c r="O137" s="288"/>
      <c r="P137" s="288"/>
    </row>
    <row r="138" spans="7:16">
      <c r="G138" s="127"/>
      <c r="H138" s="127"/>
      <c r="I138" s="127"/>
      <c r="J138" s="127"/>
      <c r="K138" s="288"/>
      <c r="L138" s="288"/>
      <c r="M138" s="288"/>
      <c r="N138" s="288"/>
      <c r="O138" s="288"/>
      <c r="P138" s="288"/>
    </row>
    <row r="139" spans="7:16">
      <c r="G139" s="127"/>
      <c r="H139" s="127"/>
      <c r="I139" s="127"/>
      <c r="J139" s="127"/>
      <c r="K139" s="288"/>
      <c r="L139" s="288"/>
      <c r="M139" s="288"/>
      <c r="N139" s="288"/>
      <c r="O139" s="288"/>
      <c r="P139" s="288"/>
    </row>
    <row r="140" spans="7:16">
      <c r="G140" s="127"/>
      <c r="H140" s="127"/>
      <c r="I140" s="127"/>
      <c r="J140" s="127"/>
      <c r="K140" s="288"/>
      <c r="L140" s="288"/>
      <c r="M140" s="288"/>
      <c r="N140" s="288"/>
      <c r="O140" s="288"/>
      <c r="P140" s="288"/>
    </row>
    <row r="141" spans="7:16">
      <c r="G141" s="127"/>
      <c r="H141" s="127"/>
      <c r="I141" s="127"/>
      <c r="J141" s="127"/>
      <c r="K141" s="288"/>
      <c r="L141" s="288"/>
      <c r="M141" s="288"/>
      <c r="N141" s="288"/>
      <c r="O141" s="288"/>
      <c r="P141" s="288"/>
    </row>
    <row r="142" spans="7:16">
      <c r="G142" s="127"/>
      <c r="H142" s="127"/>
      <c r="I142" s="127"/>
      <c r="J142" s="127"/>
      <c r="K142" s="288"/>
      <c r="L142" s="288"/>
      <c r="M142" s="288"/>
      <c r="N142" s="288"/>
      <c r="O142" s="288"/>
      <c r="P142" s="288"/>
    </row>
    <row r="143" spans="7:16">
      <c r="G143" s="127"/>
      <c r="H143" s="127"/>
      <c r="I143" s="127"/>
      <c r="J143" s="127"/>
      <c r="K143" s="288"/>
      <c r="L143" s="288"/>
      <c r="M143" s="288"/>
      <c r="N143" s="288"/>
      <c r="O143" s="288"/>
      <c r="P143" s="288"/>
    </row>
    <row r="144" spans="7:16">
      <c r="G144" s="127"/>
      <c r="H144" s="127"/>
      <c r="I144" s="127"/>
      <c r="J144" s="127"/>
      <c r="K144" s="288"/>
      <c r="L144" s="288"/>
      <c r="M144" s="288"/>
      <c r="N144" s="288"/>
      <c r="O144" s="288"/>
      <c r="P144" s="288"/>
    </row>
    <row r="145" spans="2:16">
      <c r="G145" s="127"/>
      <c r="H145" s="127"/>
      <c r="I145" s="127"/>
      <c r="J145" s="127"/>
      <c r="K145" s="288"/>
      <c r="L145" s="288"/>
      <c r="M145" s="288"/>
      <c r="N145" s="288"/>
      <c r="O145" s="288"/>
      <c r="P145" s="288"/>
    </row>
    <row r="146" spans="2:16">
      <c r="G146" s="127"/>
      <c r="H146" s="127"/>
      <c r="I146" s="127"/>
      <c r="J146" s="127"/>
      <c r="K146" s="288"/>
      <c r="L146" s="288"/>
      <c r="M146" s="288"/>
      <c r="N146" s="288"/>
      <c r="O146" s="288"/>
      <c r="P146" s="288"/>
    </row>
    <row r="147" spans="2:16">
      <c r="G147" s="127"/>
      <c r="H147" s="127"/>
      <c r="I147" s="127"/>
      <c r="J147" s="127"/>
      <c r="K147" s="288"/>
      <c r="L147" s="288"/>
      <c r="M147" s="288"/>
      <c r="N147" s="288"/>
      <c r="O147" s="288"/>
      <c r="P147" s="288"/>
    </row>
    <row r="148" spans="2:16">
      <c r="G148" s="127"/>
      <c r="H148" s="127"/>
      <c r="I148" s="127"/>
      <c r="J148" s="127"/>
      <c r="K148" s="288"/>
      <c r="L148" s="288"/>
      <c r="M148" s="288"/>
      <c r="N148" s="288"/>
      <c r="O148" s="288"/>
      <c r="P148" s="288"/>
    </row>
    <row r="149" spans="2:16">
      <c r="G149" s="127"/>
      <c r="H149" s="127"/>
      <c r="I149" s="127"/>
      <c r="J149" s="127"/>
      <c r="K149" s="288"/>
      <c r="L149" s="288"/>
      <c r="M149" s="288"/>
      <c r="N149" s="288"/>
      <c r="O149" s="288"/>
      <c r="P149" s="288"/>
    </row>
    <row r="150" spans="2:16">
      <c r="G150" s="127"/>
      <c r="H150" s="127"/>
      <c r="I150" s="127"/>
      <c r="J150" s="127"/>
      <c r="K150" s="288"/>
      <c r="L150" s="288"/>
      <c r="M150" s="288"/>
      <c r="N150" s="288"/>
      <c r="O150" s="288"/>
      <c r="P150" s="288"/>
    </row>
    <row r="151" spans="2:16">
      <c r="G151" s="127"/>
      <c r="H151" s="127"/>
      <c r="I151" s="127"/>
      <c r="J151" s="127"/>
      <c r="K151" s="288"/>
      <c r="L151" s="288"/>
      <c r="M151" s="288"/>
      <c r="N151" s="288"/>
      <c r="O151" s="288"/>
      <c r="P151" s="288"/>
    </row>
    <row r="152" spans="2:16">
      <c r="G152" s="127"/>
      <c r="H152" s="127"/>
      <c r="I152" s="127"/>
      <c r="J152" s="127"/>
      <c r="K152" s="288"/>
      <c r="L152" s="288"/>
      <c r="M152" s="288"/>
      <c r="N152" s="288"/>
      <c r="O152" s="288"/>
      <c r="P152" s="288"/>
    </row>
    <row r="153" spans="2:16">
      <c r="G153" s="127"/>
      <c r="H153" s="127"/>
      <c r="I153" s="127"/>
      <c r="J153" s="127"/>
      <c r="K153" s="288"/>
      <c r="L153" s="288"/>
      <c r="M153" s="288"/>
      <c r="N153" s="288"/>
      <c r="O153" s="288"/>
      <c r="P153" s="288"/>
    </row>
    <row r="154" spans="2:16">
      <c r="G154" s="127"/>
      <c r="H154" s="127"/>
      <c r="I154" s="127"/>
      <c r="J154" s="127"/>
      <c r="K154" s="288"/>
      <c r="L154" s="288"/>
      <c r="M154" s="288"/>
      <c r="N154" s="288"/>
      <c r="O154" s="288"/>
      <c r="P154" s="288"/>
    </row>
    <row r="155" spans="2:16">
      <c r="G155" s="127"/>
      <c r="H155" s="127"/>
      <c r="I155" s="127"/>
      <c r="J155" s="127"/>
      <c r="K155" s="288"/>
      <c r="L155" s="288"/>
      <c r="M155" s="288"/>
      <c r="N155" s="288"/>
      <c r="O155" s="288"/>
      <c r="P155" s="288"/>
    </row>
    <row r="156" spans="2:16">
      <c r="G156" s="127"/>
      <c r="H156" s="127"/>
      <c r="I156" s="127"/>
      <c r="J156" s="127"/>
      <c r="K156" s="288"/>
      <c r="L156" s="288"/>
      <c r="M156" s="288"/>
      <c r="N156" s="288"/>
      <c r="O156" s="288"/>
      <c r="P156" s="288"/>
    </row>
    <row r="157" spans="2:16">
      <c r="G157" s="127"/>
      <c r="H157" s="127"/>
      <c r="I157" s="127"/>
      <c r="J157" s="127"/>
      <c r="K157" s="288"/>
      <c r="L157" s="288"/>
      <c r="M157" s="288"/>
      <c r="N157" s="288"/>
      <c r="O157" s="288"/>
      <c r="P157" s="288"/>
    </row>
    <row r="158" spans="2:16">
      <c r="G158" s="127"/>
      <c r="H158" s="127"/>
      <c r="I158" s="127"/>
      <c r="J158" s="127"/>
      <c r="K158" s="288"/>
      <c r="L158" s="288"/>
      <c r="M158" s="288"/>
      <c r="N158" s="288"/>
      <c r="O158" s="288"/>
      <c r="P158" s="288"/>
    </row>
    <row r="159" spans="2:16">
      <c r="G159" s="127"/>
      <c r="H159" s="127"/>
      <c r="I159" s="127"/>
      <c r="J159" s="127"/>
      <c r="K159" s="288"/>
      <c r="L159" s="288"/>
      <c r="M159" s="288"/>
      <c r="N159" s="288"/>
      <c r="O159" s="288"/>
      <c r="P159" s="288"/>
    </row>
    <row r="160" spans="2:16">
      <c r="B160" s="9" t="s">
        <v>504</v>
      </c>
      <c r="G160" s="127"/>
      <c r="H160" s="127"/>
      <c r="I160" s="127"/>
      <c r="J160" s="127"/>
      <c r="K160" s="288"/>
      <c r="L160" s="288"/>
      <c r="M160" s="288"/>
      <c r="N160" s="288"/>
      <c r="O160" s="288"/>
      <c r="P160" s="288"/>
    </row>
    <row r="161" spans="7:16">
      <c r="G161" s="127"/>
      <c r="H161" s="127"/>
      <c r="I161" s="127"/>
      <c r="J161" s="127"/>
      <c r="K161" s="288"/>
      <c r="L161" s="288"/>
      <c r="M161" s="288"/>
      <c r="N161" s="288"/>
      <c r="O161" s="288"/>
      <c r="P161" s="288"/>
    </row>
    <row r="162" spans="7:16">
      <c r="G162" s="127"/>
      <c r="H162" s="127"/>
      <c r="I162" s="127"/>
      <c r="J162" s="127"/>
      <c r="K162" s="288"/>
      <c r="L162" s="288"/>
      <c r="M162" s="288"/>
      <c r="N162" s="288"/>
      <c r="O162" s="288"/>
      <c r="P162" s="288"/>
    </row>
    <row r="163" spans="7:16">
      <c r="G163" s="127"/>
      <c r="H163" s="127"/>
      <c r="I163" s="127"/>
      <c r="J163" s="127"/>
      <c r="K163" s="288"/>
      <c r="L163" s="288"/>
      <c r="M163" s="288"/>
      <c r="N163" s="288"/>
      <c r="O163" s="288"/>
      <c r="P163" s="288"/>
    </row>
    <row r="164" spans="7:16">
      <c r="G164" s="127"/>
      <c r="H164" s="127"/>
      <c r="I164" s="127"/>
      <c r="J164" s="127"/>
      <c r="K164" s="288"/>
      <c r="L164" s="288"/>
      <c r="M164" s="288"/>
      <c r="N164" s="288"/>
      <c r="O164" s="288"/>
      <c r="P164" s="288"/>
    </row>
    <row r="165" spans="7:16">
      <c r="G165" s="127"/>
      <c r="H165" s="127"/>
      <c r="I165" s="127"/>
      <c r="J165" s="127"/>
      <c r="K165" s="288"/>
      <c r="L165" s="288"/>
      <c r="M165" s="288"/>
      <c r="N165" s="288"/>
      <c r="O165" s="288"/>
      <c r="P165" s="288"/>
    </row>
    <row r="166" spans="7:16">
      <c r="G166" s="127"/>
      <c r="H166" s="127"/>
      <c r="I166" s="127"/>
      <c r="J166" s="127"/>
      <c r="K166" s="288"/>
      <c r="L166" s="288"/>
      <c r="M166" s="288"/>
      <c r="N166" s="288"/>
      <c r="O166" s="288"/>
      <c r="P166" s="288"/>
    </row>
    <row r="167" spans="7:16">
      <c r="G167" s="127"/>
      <c r="H167" s="127"/>
      <c r="I167" s="127"/>
      <c r="J167" s="127"/>
      <c r="K167" s="288"/>
      <c r="L167" s="288"/>
      <c r="M167" s="288"/>
      <c r="N167" s="288"/>
      <c r="O167" s="288"/>
      <c r="P167" s="288"/>
    </row>
    <row r="168" spans="7:16">
      <c r="G168" s="127"/>
      <c r="H168" s="127"/>
      <c r="I168" s="127"/>
      <c r="J168" s="127"/>
      <c r="K168" s="288"/>
      <c r="L168" s="288"/>
      <c r="M168" s="288"/>
      <c r="N168" s="288"/>
      <c r="O168" s="288"/>
      <c r="P168" s="288"/>
    </row>
    <row r="169" spans="7:16">
      <c r="G169" s="127"/>
      <c r="H169" s="127"/>
      <c r="I169" s="127"/>
      <c r="J169" s="127"/>
      <c r="K169" s="288"/>
      <c r="L169" s="288"/>
      <c r="M169" s="288"/>
      <c r="N169" s="288"/>
      <c r="O169" s="288"/>
      <c r="P169" s="288"/>
    </row>
    <row r="170" spans="7:16">
      <c r="G170" s="127"/>
      <c r="H170" s="127"/>
      <c r="I170" s="127"/>
      <c r="J170" s="127"/>
      <c r="K170" s="288"/>
      <c r="L170" s="288"/>
      <c r="M170" s="288"/>
      <c r="N170" s="288"/>
      <c r="O170" s="288"/>
      <c r="P170" s="288"/>
    </row>
    <row r="171" spans="7:16">
      <c r="G171" s="127"/>
      <c r="H171" s="127"/>
      <c r="I171" s="127"/>
      <c r="J171" s="127"/>
      <c r="K171" s="288"/>
      <c r="L171" s="288"/>
      <c r="M171" s="288"/>
      <c r="N171" s="288"/>
      <c r="O171" s="288"/>
      <c r="P171" s="288"/>
    </row>
    <row r="172" spans="7:16">
      <c r="G172" s="127"/>
      <c r="H172" s="127"/>
      <c r="I172" s="127"/>
      <c r="J172" s="127"/>
      <c r="K172" s="288"/>
      <c r="L172" s="288"/>
      <c r="M172" s="288"/>
      <c r="N172" s="288"/>
      <c r="O172" s="288"/>
      <c r="P172" s="288"/>
    </row>
    <row r="173" spans="7:16">
      <c r="G173" s="127"/>
      <c r="H173" s="127"/>
      <c r="I173" s="127"/>
      <c r="J173" s="127"/>
      <c r="K173" s="288"/>
      <c r="L173" s="288"/>
      <c r="M173" s="288"/>
      <c r="N173" s="288"/>
      <c r="O173" s="288"/>
      <c r="P173" s="288"/>
    </row>
    <row r="174" spans="7:16">
      <c r="G174" s="127"/>
      <c r="H174" s="127"/>
      <c r="I174" s="127"/>
      <c r="J174" s="127"/>
      <c r="K174" s="288"/>
      <c r="L174" s="288"/>
      <c r="M174" s="288"/>
      <c r="N174" s="288"/>
      <c r="O174" s="288"/>
      <c r="P174" s="288"/>
    </row>
    <row r="175" spans="7:16">
      <c r="G175" s="127"/>
      <c r="H175" s="127"/>
      <c r="I175" s="127"/>
      <c r="J175" s="127"/>
      <c r="K175" s="288"/>
      <c r="L175" s="288"/>
      <c r="M175" s="288"/>
      <c r="N175" s="288"/>
      <c r="O175" s="288"/>
      <c r="P175" s="288"/>
    </row>
    <row r="176" spans="7:16">
      <c r="G176" s="127"/>
      <c r="H176" s="127"/>
      <c r="I176" s="127"/>
      <c r="J176" s="127"/>
      <c r="K176" s="288"/>
      <c r="L176" s="288"/>
      <c r="M176" s="288"/>
      <c r="N176" s="288"/>
      <c r="O176" s="288"/>
      <c r="P176" s="288"/>
    </row>
    <row r="177" spans="7:16">
      <c r="G177" s="127"/>
      <c r="H177" s="127"/>
      <c r="I177" s="127"/>
      <c r="J177" s="127"/>
      <c r="K177" s="288"/>
      <c r="L177" s="288"/>
      <c r="M177" s="288"/>
      <c r="N177" s="288"/>
      <c r="O177" s="288"/>
      <c r="P177" s="288"/>
    </row>
    <row r="178" spans="7:16">
      <c r="G178" s="127"/>
      <c r="H178" s="127"/>
      <c r="I178" s="127"/>
      <c r="J178" s="127"/>
      <c r="K178" s="288"/>
      <c r="L178" s="288"/>
      <c r="M178" s="288"/>
      <c r="N178" s="288"/>
      <c r="O178" s="288"/>
      <c r="P178" s="288"/>
    </row>
    <row r="179" spans="7:16">
      <c r="G179" s="127"/>
      <c r="H179" s="127"/>
      <c r="I179" s="127"/>
      <c r="J179" s="127"/>
      <c r="K179" s="288"/>
      <c r="L179" s="288"/>
      <c r="M179" s="288"/>
      <c r="N179" s="288"/>
      <c r="O179" s="288"/>
      <c r="P179" s="288"/>
    </row>
    <row r="180" spans="7:16">
      <c r="G180" s="127"/>
      <c r="H180" s="127"/>
      <c r="I180" s="127"/>
      <c r="J180" s="127"/>
      <c r="K180" s="288"/>
      <c r="L180" s="288"/>
      <c r="M180" s="288"/>
      <c r="N180" s="288"/>
      <c r="O180" s="288"/>
      <c r="P180" s="288"/>
    </row>
    <row r="181" spans="7:16">
      <c r="G181" s="127"/>
      <c r="H181" s="127"/>
      <c r="I181" s="127"/>
      <c r="J181" s="127"/>
      <c r="K181" s="288"/>
      <c r="L181" s="288"/>
      <c r="M181" s="288"/>
      <c r="N181" s="288"/>
      <c r="O181" s="288"/>
      <c r="P181" s="288"/>
    </row>
    <row r="182" spans="7:16">
      <c r="G182" s="127"/>
      <c r="H182" s="127"/>
      <c r="I182" s="127"/>
      <c r="J182" s="127"/>
      <c r="K182" s="288"/>
      <c r="L182" s="288"/>
      <c r="M182" s="288"/>
      <c r="N182" s="288"/>
      <c r="O182" s="288"/>
      <c r="P182" s="288"/>
    </row>
    <row r="183" spans="7:16">
      <c r="G183" s="127"/>
      <c r="H183" s="127"/>
      <c r="I183" s="127"/>
      <c r="J183" s="127"/>
      <c r="K183" s="288"/>
      <c r="L183" s="288"/>
      <c r="M183" s="288"/>
      <c r="N183" s="288"/>
      <c r="O183" s="288"/>
      <c r="P183" s="288"/>
    </row>
    <row r="184" spans="7:16">
      <c r="G184" s="127"/>
      <c r="H184" s="127"/>
      <c r="I184" s="127"/>
      <c r="J184" s="127"/>
      <c r="K184" s="288"/>
      <c r="L184" s="288"/>
      <c r="M184" s="288"/>
      <c r="N184" s="288"/>
      <c r="O184" s="288"/>
      <c r="P184" s="288"/>
    </row>
    <row r="185" spans="7:16">
      <c r="G185" s="127"/>
      <c r="H185" s="127"/>
      <c r="I185" s="127"/>
      <c r="J185" s="127"/>
      <c r="K185" s="288"/>
      <c r="L185" s="288"/>
      <c r="M185" s="288"/>
      <c r="N185" s="288"/>
      <c r="O185" s="288"/>
      <c r="P185" s="288"/>
    </row>
    <row r="186" spans="7:16">
      <c r="G186" s="127"/>
      <c r="H186" s="127"/>
      <c r="I186" s="127"/>
      <c r="J186" s="127"/>
      <c r="K186" s="288"/>
      <c r="L186" s="288"/>
      <c r="M186" s="288"/>
      <c r="N186" s="288"/>
      <c r="O186" s="288"/>
      <c r="P186" s="288"/>
    </row>
    <row r="187" spans="7:16">
      <c r="G187" s="127"/>
      <c r="H187" s="127"/>
      <c r="I187" s="127"/>
      <c r="J187" s="127"/>
      <c r="K187" s="288"/>
      <c r="L187" s="288"/>
      <c r="M187" s="288"/>
      <c r="N187" s="288"/>
      <c r="O187" s="288"/>
      <c r="P187" s="288"/>
    </row>
    <row r="188" spans="7:16">
      <c r="G188" s="127"/>
      <c r="H188" s="127"/>
      <c r="I188" s="127"/>
      <c r="J188" s="127"/>
      <c r="K188" s="288"/>
      <c r="L188" s="288"/>
      <c r="M188" s="288"/>
      <c r="N188" s="288"/>
      <c r="O188" s="288"/>
      <c r="P188" s="288"/>
    </row>
    <row r="189" spans="7:16">
      <c r="G189" s="127"/>
      <c r="H189" s="127"/>
      <c r="I189" s="127"/>
      <c r="J189" s="127"/>
      <c r="K189" s="288"/>
      <c r="L189" s="288"/>
      <c r="M189" s="288"/>
      <c r="N189" s="288"/>
      <c r="O189" s="288"/>
      <c r="P189" s="288"/>
    </row>
    <row r="190" spans="7:16">
      <c r="G190" s="127"/>
      <c r="H190" s="127"/>
      <c r="I190" s="127"/>
      <c r="J190" s="127"/>
      <c r="K190" s="288"/>
      <c r="L190" s="288"/>
      <c r="M190" s="288"/>
      <c r="N190" s="288"/>
      <c r="O190" s="288"/>
      <c r="P190" s="288"/>
    </row>
    <row r="191" spans="7:16">
      <c r="G191" s="127"/>
      <c r="H191" s="127"/>
      <c r="I191" s="127"/>
      <c r="J191" s="127"/>
      <c r="K191" s="288"/>
      <c r="L191" s="288"/>
      <c r="M191" s="288"/>
      <c r="N191" s="288"/>
      <c r="O191" s="288"/>
      <c r="P191" s="288"/>
    </row>
    <row r="192" spans="7:16">
      <c r="G192" s="127"/>
      <c r="H192" s="127"/>
      <c r="I192" s="127"/>
      <c r="J192" s="127"/>
      <c r="K192" s="288"/>
      <c r="L192" s="288"/>
      <c r="M192" s="288"/>
      <c r="N192" s="288"/>
      <c r="O192" s="288"/>
      <c r="P192" s="288"/>
    </row>
    <row r="193" spans="7:16">
      <c r="G193" s="127"/>
      <c r="H193" s="127"/>
      <c r="I193" s="127"/>
      <c r="J193" s="127"/>
      <c r="K193" s="288"/>
      <c r="L193" s="288"/>
      <c r="M193" s="288"/>
      <c r="N193" s="288"/>
      <c r="O193" s="288"/>
      <c r="P193" s="288"/>
    </row>
    <row r="194" spans="7:16">
      <c r="G194" s="127"/>
      <c r="H194" s="127"/>
      <c r="I194" s="127"/>
      <c r="J194" s="127"/>
      <c r="K194" s="288"/>
      <c r="L194" s="288"/>
      <c r="M194" s="288"/>
      <c r="N194" s="288"/>
      <c r="O194" s="288"/>
      <c r="P194" s="288"/>
    </row>
    <row r="195" spans="7:16">
      <c r="G195" s="127"/>
      <c r="H195" s="127"/>
      <c r="I195" s="127"/>
      <c r="J195" s="127"/>
      <c r="K195" s="127"/>
      <c r="L195" s="127"/>
    </row>
    <row r="196" spans="7:16">
      <c r="G196" s="127"/>
      <c r="H196" s="127"/>
      <c r="I196" s="127"/>
      <c r="J196" s="127"/>
      <c r="K196" s="127"/>
      <c r="L196" s="127"/>
    </row>
    <row r="197" spans="7:16">
      <c r="G197" s="127"/>
      <c r="H197" s="127"/>
      <c r="I197" s="127"/>
      <c r="J197" s="127"/>
      <c r="K197" s="127"/>
      <c r="L197" s="127"/>
    </row>
    <row r="198" spans="7:16">
      <c r="G198" s="127"/>
      <c r="H198" s="127"/>
      <c r="I198" s="127"/>
      <c r="J198" s="127"/>
      <c r="K198" s="127"/>
      <c r="L198" s="127"/>
    </row>
    <row r="199" spans="7:16">
      <c r="G199" s="127"/>
      <c r="H199" s="127"/>
      <c r="I199" s="127"/>
      <c r="J199" s="127"/>
      <c r="K199" s="127"/>
      <c r="L199" s="127"/>
    </row>
    <row r="200" spans="7:16">
      <c r="G200" s="127"/>
      <c r="H200" s="127"/>
      <c r="I200" s="127"/>
      <c r="J200" s="127"/>
      <c r="K200" s="127"/>
      <c r="L200" s="127"/>
    </row>
    <row r="201" spans="7:16">
      <c r="G201" s="127"/>
      <c r="H201" s="127"/>
      <c r="I201" s="127"/>
      <c r="J201" s="127"/>
      <c r="K201" s="127"/>
      <c r="L201" s="127"/>
    </row>
    <row r="202" spans="7:16">
      <c r="G202" s="127"/>
      <c r="H202" s="127"/>
      <c r="I202" s="127"/>
      <c r="J202" s="127"/>
      <c r="K202" s="127"/>
      <c r="L202" s="127"/>
    </row>
    <row r="203" spans="7:16">
      <c r="G203" s="127"/>
      <c r="H203" s="127"/>
      <c r="I203" s="127"/>
      <c r="J203" s="127"/>
      <c r="K203" s="127"/>
      <c r="L203" s="127"/>
    </row>
    <row r="204" spans="7:16">
      <c r="G204" s="127"/>
      <c r="H204" s="127"/>
      <c r="I204" s="127"/>
      <c r="J204" s="127"/>
      <c r="K204" s="127"/>
      <c r="L204" s="127"/>
    </row>
    <row r="205" spans="7:16">
      <c r="G205" s="127"/>
      <c r="H205" s="127"/>
      <c r="I205" s="127"/>
      <c r="J205" s="127"/>
      <c r="K205" s="127"/>
      <c r="L205" s="127"/>
    </row>
    <row r="206" spans="7:16">
      <c r="G206" s="127"/>
      <c r="H206" s="127"/>
      <c r="I206" s="127"/>
      <c r="J206" s="127"/>
      <c r="K206" s="127"/>
      <c r="L206" s="127"/>
    </row>
    <row r="207" spans="7:16">
      <c r="G207" s="127"/>
      <c r="H207" s="127"/>
      <c r="I207" s="127"/>
      <c r="J207" s="127"/>
      <c r="K207" s="127"/>
      <c r="L207" s="127"/>
    </row>
    <row r="208" spans="7:16">
      <c r="G208" s="127"/>
      <c r="H208" s="127"/>
      <c r="I208" s="127"/>
      <c r="J208" s="127"/>
      <c r="K208" s="127"/>
      <c r="L208" s="127"/>
    </row>
    <row r="209" spans="1:12">
      <c r="G209" s="127"/>
      <c r="H209" s="127"/>
      <c r="I209" s="127"/>
      <c r="J209" s="127"/>
      <c r="K209" s="127"/>
      <c r="L209" s="127"/>
    </row>
    <row r="210" spans="1:12">
      <c r="G210" s="127"/>
      <c r="H210" s="127"/>
      <c r="I210" s="127"/>
      <c r="J210" s="127"/>
      <c r="K210" s="127"/>
      <c r="L210" s="127"/>
    </row>
    <row r="211" spans="1:12">
      <c r="G211" s="127"/>
      <c r="H211" s="127"/>
      <c r="I211" s="127"/>
      <c r="J211" s="127"/>
      <c r="K211" s="127"/>
      <c r="L211" s="127"/>
    </row>
    <row r="212" spans="1:12">
      <c r="A212" s="127" t="s">
        <v>556</v>
      </c>
      <c r="G212" s="127"/>
      <c r="H212" s="127"/>
      <c r="I212" s="127"/>
      <c r="J212" s="127"/>
      <c r="K212" s="127"/>
      <c r="L212" s="127"/>
    </row>
    <row r="213" spans="1:12">
      <c r="G213" s="127"/>
      <c r="H213" s="127"/>
      <c r="I213" s="127"/>
      <c r="J213" s="127"/>
      <c r="K213" s="127"/>
      <c r="L213" s="127"/>
    </row>
    <row r="214" spans="1:12">
      <c r="G214" s="127"/>
      <c r="H214" s="127"/>
      <c r="I214" s="127"/>
      <c r="J214" s="127"/>
      <c r="K214" s="127"/>
      <c r="L214" s="127"/>
    </row>
    <row r="215" spans="1:12">
      <c r="G215" s="127"/>
      <c r="H215" s="127"/>
      <c r="I215" s="127"/>
      <c r="J215" s="127"/>
      <c r="K215" s="127"/>
      <c r="L215" s="127"/>
    </row>
    <row r="216" spans="1:12">
      <c r="G216" s="127"/>
      <c r="H216" s="127"/>
      <c r="I216" s="127"/>
      <c r="J216" s="127"/>
      <c r="K216" s="127"/>
      <c r="L216" s="127"/>
    </row>
    <row r="217" spans="1:12">
      <c r="G217" s="127"/>
      <c r="H217" s="127"/>
      <c r="I217" s="127"/>
      <c r="J217" s="127"/>
      <c r="K217" s="127"/>
      <c r="L217" s="127"/>
    </row>
    <row r="218" spans="1:12">
      <c r="G218" s="127"/>
      <c r="H218" s="127"/>
      <c r="I218" s="127"/>
      <c r="J218" s="127"/>
      <c r="K218" s="127"/>
      <c r="L218" s="127"/>
    </row>
    <row r="219" spans="1:12">
      <c r="G219" s="127"/>
      <c r="H219" s="127"/>
      <c r="I219" s="127"/>
      <c r="J219" s="127"/>
      <c r="K219" s="127"/>
      <c r="L219" s="127"/>
    </row>
    <row r="220" spans="1:12">
      <c r="G220" s="127"/>
      <c r="H220" s="127"/>
      <c r="I220" s="127"/>
      <c r="J220" s="127"/>
      <c r="K220" s="127"/>
      <c r="L220" s="127"/>
    </row>
    <row r="221" spans="1:12">
      <c r="G221" s="127"/>
      <c r="H221" s="127"/>
      <c r="I221" s="127"/>
      <c r="J221" s="127"/>
      <c r="K221" s="127"/>
      <c r="L221" s="127"/>
    </row>
    <row r="222" spans="1:12">
      <c r="G222" s="127"/>
      <c r="H222" s="127"/>
      <c r="I222" s="127"/>
      <c r="J222" s="127"/>
      <c r="K222" s="127"/>
      <c r="L222" s="127"/>
    </row>
    <row r="223" spans="1:12">
      <c r="G223" s="127"/>
      <c r="H223" s="127"/>
      <c r="I223" s="127"/>
      <c r="J223" s="127"/>
      <c r="K223" s="127"/>
      <c r="L223" s="127"/>
    </row>
    <row r="224" spans="1:12">
      <c r="G224" s="127"/>
      <c r="H224" s="127"/>
      <c r="I224" s="127"/>
      <c r="J224" s="127"/>
      <c r="K224" s="127"/>
      <c r="L224" s="127"/>
    </row>
    <row r="225" spans="7:12">
      <c r="G225" s="127"/>
      <c r="H225" s="127"/>
      <c r="I225" s="127"/>
      <c r="J225" s="127"/>
      <c r="K225" s="127"/>
      <c r="L225" s="127"/>
    </row>
    <row r="226" spans="7:12">
      <c r="G226" s="127"/>
      <c r="H226" s="127"/>
      <c r="I226" s="127"/>
      <c r="J226" s="127"/>
      <c r="K226" s="127"/>
      <c r="L226" s="127"/>
    </row>
    <row r="227" spans="7:12">
      <c r="G227" s="127"/>
      <c r="H227" s="127"/>
      <c r="I227" s="127"/>
      <c r="J227" s="127"/>
      <c r="K227" s="127"/>
      <c r="L227" s="127"/>
    </row>
    <row r="228" spans="7:12">
      <c r="G228" s="127"/>
      <c r="H228" s="127"/>
      <c r="I228" s="127"/>
      <c r="J228" s="127"/>
      <c r="K228" s="127"/>
      <c r="L228" s="127"/>
    </row>
    <row r="229" spans="7:12">
      <c r="G229" s="127"/>
      <c r="H229" s="127"/>
      <c r="I229" s="127"/>
      <c r="J229" s="127"/>
      <c r="K229" s="127"/>
      <c r="L229" s="127"/>
    </row>
    <row r="230" spans="7:12">
      <c r="G230" s="127"/>
      <c r="H230" s="127"/>
      <c r="I230" s="127"/>
      <c r="J230" s="127"/>
      <c r="K230" s="127"/>
      <c r="L230" s="127"/>
    </row>
    <row r="231" spans="7:12">
      <c r="G231" s="127"/>
      <c r="H231" s="127"/>
      <c r="I231" s="127"/>
      <c r="J231" s="127"/>
      <c r="K231" s="127"/>
      <c r="L231" s="127"/>
    </row>
    <row r="232" spans="7:12">
      <c r="G232" s="127"/>
      <c r="H232" s="127"/>
      <c r="I232" s="127"/>
      <c r="J232" s="127"/>
      <c r="K232" s="127"/>
      <c r="L232" s="127"/>
    </row>
    <row r="233" spans="7:12">
      <c r="G233" s="127"/>
      <c r="H233" s="127"/>
      <c r="I233" s="127"/>
      <c r="J233" s="127"/>
      <c r="K233" s="127"/>
      <c r="L233" s="127"/>
    </row>
    <row r="234" spans="7:12">
      <c r="G234" s="127"/>
      <c r="H234" s="127"/>
      <c r="I234" s="127"/>
      <c r="J234" s="127"/>
      <c r="K234" s="127"/>
      <c r="L234" s="127"/>
    </row>
    <row r="235" spans="7:12">
      <c r="G235" s="127"/>
      <c r="H235" s="127"/>
      <c r="I235" s="127"/>
      <c r="J235" s="127"/>
      <c r="K235" s="127"/>
      <c r="L235" s="127"/>
    </row>
    <row r="236" spans="7:12">
      <c r="G236" s="127"/>
      <c r="H236" s="127"/>
      <c r="I236" s="127"/>
      <c r="J236" s="127"/>
      <c r="K236" s="127"/>
      <c r="L236" s="127"/>
    </row>
    <row r="237" spans="7:12">
      <c r="G237" s="127"/>
      <c r="H237" s="127"/>
      <c r="I237" s="127"/>
      <c r="J237" s="127"/>
      <c r="K237" s="127"/>
      <c r="L237" s="127"/>
    </row>
    <row r="238" spans="7:12">
      <c r="G238" s="127"/>
      <c r="H238" s="127"/>
      <c r="I238" s="127"/>
      <c r="J238" s="127"/>
      <c r="K238" s="127"/>
      <c r="L238" s="127"/>
    </row>
    <row r="239" spans="7:12">
      <c r="G239" s="127"/>
      <c r="H239" s="127"/>
      <c r="I239" s="127"/>
      <c r="J239" s="127"/>
      <c r="K239" s="127"/>
      <c r="L239" s="127"/>
    </row>
    <row r="240" spans="7:12">
      <c r="G240" s="127"/>
      <c r="H240" s="127"/>
      <c r="I240" s="127"/>
      <c r="J240" s="127"/>
      <c r="K240" s="127"/>
      <c r="L240" s="127"/>
    </row>
    <row r="241" spans="1:18">
      <c r="G241" s="127"/>
      <c r="H241" s="127"/>
      <c r="I241" s="127"/>
      <c r="J241" s="127"/>
      <c r="K241" s="127"/>
      <c r="L241" s="127"/>
    </row>
    <row r="242" spans="1:18">
      <c r="G242" s="127"/>
      <c r="H242" s="127"/>
      <c r="I242" s="127"/>
      <c r="J242" s="127"/>
      <c r="K242" s="127"/>
      <c r="L242" s="127"/>
    </row>
    <row r="243" spans="1:18">
      <c r="G243" s="127"/>
      <c r="H243" s="127"/>
      <c r="I243" s="127"/>
      <c r="J243" s="127"/>
      <c r="K243" s="127"/>
      <c r="L243" s="127"/>
    </row>
    <row r="244" spans="1:18">
      <c r="A244" s="79"/>
      <c r="B244" s="366" t="s">
        <v>556</v>
      </c>
      <c r="C244" s="79"/>
      <c r="D244" s="79"/>
      <c r="E244" s="79"/>
      <c r="F244" s="79"/>
      <c r="G244" s="141"/>
      <c r="H244" s="141"/>
      <c r="I244" s="141"/>
      <c r="J244" s="127"/>
      <c r="K244" s="127"/>
      <c r="L244" s="127"/>
    </row>
    <row r="245" spans="1:18">
      <c r="A245" s="79"/>
      <c r="B245" s="141"/>
      <c r="C245" s="79"/>
      <c r="D245" s="79"/>
      <c r="E245" s="79"/>
      <c r="F245" s="79"/>
      <c r="G245" s="79"/>
      <c r="H245" s="141"/>
      <c r="I245" s="141"/>
      <c r="J245" s="127"/>
      <c r="K245" s="127"/>
      <c r="L245" s="127"/>
    </row>
    <row r="246" spans="1:18">
      <c r="A246" s="79"/>
      <c r="B246" s="367" t="s">
        <v>557</v>
      </c>
      <c r="C246" s="79"/>
      <c r="D246" s="79"/>
      <c r="E246" s="79"/>
      <c r="F246" s="79"/>
      <c r="G246" s="79"/>
      <c r="H246" s="141"/>
      <c r="I246" s="141"/>
      <c r="J246" s="127"/>
      <c r="K246" s="127"/>
      <c r="L246" s="127"/>
    </row>
    <row r="247" spans="1:18">
      <c r="A247" s="79"/>
      <c r="B247" s="141"/>
      <c r="C247" s="79"/>
      <c r="D247" s="79"/>
      <c r="E247" s="79"/>
      <c r="F247" s="79"/>
      <c r="G247" s="79"/>
      <c r="H247" s="141"/>
      <c r="I247" s="141"/>
      <c r="J247" s="141"/>
      <c r="K247" s="141"/>
      <c r="L247" s="141"/>
      <c r="M247" s="79"/>
      <c r="N247" s="79"/>
      <c r="O247" s="79"/>
      <c r="P247" s="79"/>
      <c r="Q247" s="79"/>
      <c r="R247" s="79"/>
    </row>
    <row r="248" spans="1:18">
      <c r="A248" s="79"/>
      <c r="B248" s="79"/>
      <c r="C248" s="79"/>
      <c r="D248" s="79"/>
      <c r="E248" s="79"/>
      <c r="F248" s="79"/>
      <c r="G248" s="79"/>
      <c r="H248" s="141"/>
      <c r="I248" s="141"/>
      <c r="J248" s="141"/>
      <c r="K248" s="141"/>
      <c r="L248" s="141"/>
      <c r="M248" s="141"/>
      <c r="N248" s="79"/>
      <c r="O248" s="79"/>
      <c r="P248" s="79"/>
      <c r="Q248" s="79"/>
      <c r="R248" s="79"/>
    </row>
    <row r="249" spans="1:18">
      <c r="G249" s="79"/>
      <c r="H249" s="141"/>
      <c r="I249" s="141"/>
      <c r="J249" s="141"/>
      <c r="K249" s="141"/>
      <c r="L249" s="141"/>
      <c r="M249" s="141"/>
      <c r="N249" s="79"/>
      <c r="O249" s="79"/>
      <c r="P249" s="79"/>
      <c r="Q249" s="79"/>
      <c r="R249" s="79"/>
    </row>
    <row r="250" spans="1:18">
      <c r="G250" s="141"/>
      <c r="H250" s="141"/>
      <c r="I250" s="141"/>
      <c r="J250" s="141"/>
      <c r="K250" s="141"/>
      <c r="L250" s="141"/>
      <c r="M250" s="141"/>
      <c r="N250" s="79"/>
      <c r="O250" s="79"/>
      <c r="P250" s="79"/>
      <c r="Q250" s="79"/>
      <c r="R250" s="79"/>
    </row>
    <row r="251" spans="1:18">
      <c r="G251" s="141"/>
      <c r="H251" s="141"/>
      <c r="I251" s="141"/>
      <c r="J251" s="141"/>
      <c r="K251" s="141"/>
      <c r="L251" s="141"/>
      <c r="M251" s="141"/>
      <c r="N251" s="79"/>
      <c r="O251" s="79"/>
      <c r="P251" s="79"/>
      <c r="Q251" s="79"/>
      <c r="R251" s="79"/>
    </row>
    <row r="252" spans="1:18">
      <c r="G252" s="141"/>
      <c r="H252" s="141"/>
      <c r="I252" s="141"/>
      <c r="J252" s="141"/>
      <c r="K252" s="141"/>
      <c r="L252" s="141"/>
      <c r="M252" s="141"/>
      <c r="N252" s="79"/>
      <c r="O252" s="79"/>
      <c r="P252" s="79"/>
      <c r="Q252" s="79"/>
      <c r="R252" s="79"/>
    </row>
    <row r="253" spans="1:18">
      <c r="J253" s="141"/>
      <c r="K253" s="141"/>
      <c r="L253" s="141"/>
      <c r="M253" s="79"/>
      <c r="N253" s="79"/>
      <c r="O253" s="79"/>
      <c r="P253" s="79"/>
      <c r="Q253" s="79"/>
      <c r="R253" s="79"/>
    </row>
    <row r="254" spans="1:18">
      <c r="J254" s="141"/>
      <c r="K254" s="141"/>
      <c r="L254" s="141"/>
      <c r="M254" s="79"/>
      <c r="N254" s="79"/>
      <c r="O254" s="79"/>
      <c r="P254" s="79"/>
      <c r="Q254" s="79"/>
      <c r="R254" s="79"/>
    </row>
    <row r="255" spans="1:18">
      <c r="J255" s="141"/>
      <c r="K255" s="141"/>
      <c r="L255" s="141"/>
      <c r="M255" s="79"/>
      <c r="N255" s="79"/>
      <c r="O255" s="79"/>
      <c r="P255" s="79"/>
      <c r="Q255" s="79"/>
      <c r="R255" s="79"/>
    </row>
    <row r="256" spans="1:18">
      <c r="G256" s="141"/>
      <c r="H256" s="141"/>
      <c r="I256" s="141"/>
      <c r="J256" s="141"/>
      <c r="K256" s="141"/>
      <c r="L256" s="141"/>
      <c r="M256" s="79"/>
      <c r="N256" s="79"/>
      <c r="O256" s="79"/>
      <c r="P256" s="79"/>
      <c r="Q256" s="79"/>
      <c r="R256" s="79"/>
    </row>
    <row r="257" spans="7:12">
      <c r="G257" s="127"/>
      <c r="H257" s="127"/>
      <c r="I257" s="127"/>
      <c r="J257" s="127"/>
      <c r="K257" s="127"/>
      <c r="L257" s="127"/>
    </row>
    <row r="258" spans="7:12">
      <c r="G258" s="127"/>
      <c r="H258" s="127"/>
      <c r="I258" s="127"/>
      <c r="J258" s="127"/>
      <c r="K258" s="127"/>
      <c r="L258" s="127"/>
    </row>
    <row r="259" spans="7:12">
      <c r="G259" s="127"/>
      <c r="H259" s="127"/>
      <c r="I259" s="127"/>
      <c r="J259" s="127"/>
      <c r="K259" s="127"/>
      <c r="L259" s="127"/>
    </row>
    <row r="260" spans="7:12">
      <c r="G260" s="127"/>
      <c r="H260" s="127"/>
      <c r="I260" s="127"/>
      <c r="J260" s="127"/>
      <c r="K260" s="127"/>
      <c r="L260" s="127"/>
    </row>
    <row r="261" spans="7:12">
      <c r="G261" s="127"/>
      <c r="H261" s="127"/>
      <c r="I261" s="127"/>
      <c r="J261" s="127"/>
      <c r="K261" s="127"/>
      <c r="L261" s="127"/>
    </row>
    <row r="262" spans="7:12">
      <c r="G262" s="127"/>
      <c r="H262" s="127"/>
      <c r="I262" s="127"/>
      <c r="J262" s="127"/>
      <c r="K262" s="127"/>
      <c r="L262" s="127"/>
    </row>
    <row r="263" spans="7:12">
      <c r="G263" s="127"/>
      <c r="H263" s="127"/>
      <c r="I263" s="127"/>
      <c r="J263" s="127"/>
      <c r="K263" s="127"/>
      <c r="L263" s="127"/>
    </row>
    <row r="264" spans="7:12">
      <c r="G264" s="127"/>
      <c r="H264" s="127"/>
      <c r="I264" s="127"/>
      <c r="J264" s="127"/>
      <c r="K264" s="127"/>
      <c r="L264" s="127"/>
    </row>
    <row r="265" spans="7:12">
      <c r="G265" s="127"/>
      <c r="H265" s="127"/>
      <c r="I265" s="127"/>
      <c r="J265" s="127"/>
      <c r="K265" s="127"/>
      <c r="L265" s="127"/>
    </row>
    <row r="266" spans="7:12">
      <c r="G266" s="127"/>
      <c r="H266" s="127"/>
      <c r="I266" s="127"/>
      <c r="J266" s="127"/>
      <c r="K266" s="127"/>
      <c r="L266" s="127"/>
    </row>
    <row r="267" spans="7:12">
      <c r="G267" s="127"/>
      <c r="H267" s="127"/>
      <c r="I267" s="127"/>
      <c r="J267" s="127"/>
      <c r="K267" s="127"/>
      <c r="L267" s="127"/>
    </row>
    <row r="268" spans="7:12">
      <c r="G268" s="127"/>
      <c r="H268" s="127"/>
      <c r="I268" s="127"/>
      <c r="J268" s="127"/>
      <c r="K268" s="127"/>
      <c r="L268" s="127"/>
    </row>
    <row r="269" spans="7:12">
      <c r="G269" s="127"/>
      <c r="H269" s="127"/>
      <c r="I269" s="127"/>
      <c r="J269" s="127"/>
      <c r="K269" s="127"/>
      <c r="L269" s="127"/>
    </row>
    <row r="270" spans="7:12">
      <c r="G270" s="127"/>
      <c r="H270" s="127"/>
      <c r="I270" s="127"/>
      <c r="J270" s="127"/>
      <c r="K270" s="127"/>
      <c r="L270" s="127"/>
    </row>
    <row r="271" spans="7:12">
      <c r="G271" s="127"/>
      <c r="H271" s="127"/>
      <c r="I271" s="127"/>
      <c r="J271" s="127"/>
      <c r="K271" s="127"/>
      <c r="L271" s="127"/>
    </row>
    <row r="272" spans="7:12">
      <c r="G272" s="127"/>
      <c r="H272" s="127"/>
      <c r="I272" s="127"/>
      <c r="J272" s="127"/>
      <c r="K272" s="127"/>
      <c r="L272" s="127"/>
    </row>
    <row r="273" spans="7:12">
      <c r="G273" s="127"/>
      <c r="H273" s="127"/>
      <c r="I273" s="127"/>
      <c r="J273" s="127"/>
      <c r="K273" s="127"/>
      <c r="L273" s="127"/>
    </row>
    <row r="274" spans="7:12">
      <c r="G274" s="127"/>
      <c r="H274" s="127"/>
      <c r="I274" s="127"/>
      <c r="J274" s="127"/>
      <c r="K274" s="127"/>
      <c r="L274" s="127"/>
    </row>
    <row r="275" spans="7:12">
      <c r="G275" s="127"/>
      <c r="H275" s="127"/>
      <c r="I275" s="127"/>
      <c r="J275" s="127"/>
      <c r="K275" s="127"/>
      <c r="L275" s="127"/>
    </row>
    <row r="276" spans="7:12">
      <c r="G276" s="127"/>
      <c r="H276" s="127"/>
      <c r="I276" s="127"/>
      <c r="J276" s="127"/>
      <c r="K276" s="127"/>
      <c r="L276" s="127"/>
    </row>
    <row r="277" spans="7:12">
      <c r="G277" s="127"/>
      <c r="H277" s="127"/>
      <c r="I277" s="127"/>
      <c r="J277" s="127"/>
      <c r="K277" s="127"/>
      <c r="L277" s="127"/>
    </row>
    <row r="278" spans="7:12">
      <c r="G278" s="127"/>
      <c r="H278" s="127"/>
      <c r="I278" s="127"/>
      <c r="J278" s="127"/>
      <c r="K278" s="127"/>
      <c r="L278" s="127"/>
    </row>
    <row r="279" spans="7:12">
      <c r="G279" s="127"/>
      <c r="H279" s="127"/>
      <c r="I279" s="127"/>
      <c r="J279" s="127"/>
      <c r="K279" s="127"/>
      <c r="L279" s="127"/>
    </row>
    <row r="280" spans="7:12">
      <c r="G280" s="127"/>
      <c r="H280" s="127"/>
      <c r="I280" s="127"/>
      <c r="J280" s="127"/>
      <c r="K280" s="127"/>
      <c r="L280" s="127"/>
    </row>
    <row r="281" spans="7:12">
      <c r="G281" s="127"/>
      <c r="H281" s="127"/>
      <c r="I281" s="127"/>
      <c r="J281" s="127"/>
      <c r="K281" s="127"/>
      <c r="L281" s="127"/>
    </row>
    <row r="282" spans="7:12">
      <c r="G282" s="127"/>
      <c r="H282" s="127"/>
      <c r="I282" s="127"/>
      <c r="J282" s="127"/>
      <c r="K282" s="127"/>
      <c r="L282" s="127"/>
    </row>
    <row r="283" spans="7:12">
      <c r="G283" s="127"/>
      <c r="H283" s="127"/>
      <c r="I283" s="127"/>
      <c r="J283" s="127"/>
      <c r="K283" s="127"/>
      <c r="L283" s="127"/>
    </row>
    <row r="284" spans="7:12">
      <c r="G284" s="127"/>
      <c r="H284" s="127"/>
      <c r="I284" s="127"/>
      <c r="J284" s="127"/>
      <c r="K284" s="127"/>
      <c r="L284" s="127"/>
    </row>
    <row r="285" spans="7:12">
      <c r="G285" s="127"/>
      <c r="H285" s="127"/>
      <c r="I285" s="127"/>
      <c r="J285" s="127"/>
      <c r="K285" s="127"/>
      <c r="L285" s="127"/>
    </row>
    <row r="286" spans="7:12">
      <c r="G286" s="127"/>
      <c r="H286" s="127"/>
      <c r="I286" s="127"/>
      <c r="J286" s="127"/>
      <c r="K286" s="127"/>
      <c r="L286" s="127"/>
    </row>
    <row r="287" spans="7:12">
      <c r="G287" s="127"/>
      <c r="H287" s="127"/>
      <c r="I287" s="127"/>
      <c r="J287" s="127"/>
      <c r="K287" s="127"/>
      <c r="L287" s="127"/>
    </row>
    <row r="294" spans="2:2" ht="15.75">
      <c r="B294" s="68" t="s">
        <v>134</v>
      </c>
    </row>
  </sheetData>
  <sheetProtection sheet="1" objects="1" scenarios="1" selectLockedCells="1"/>
  <phoneticPr fontId="0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38"/>
  <sheetViews>
    <sheetView zoomScaleNormal="100" workbookViewId="0">
      <selection activeCell="H18" sqref="H18"/>
    </sheetView>
  </sheetViews>
  <sheetFormatPr defaultRowHeight="12.75"/>
  <cols>
    <col min="1" max="1" width="6.42578125" customWidth="1"/>
    <col min="2" max="2" width="38.140625" style="63" customWidth="1"/>
    <col min="3" max="3" width="10.42578125" bestFit="1" customWidth="1"/>
    <col min="5" max="5" width="12.85546875" customWidth="1"/>
    <col min="6" max="6" width="8.28515625" customWidth="1"/>
    <col min="7" max="7" width="9.28515625" bestFit="1" customWidth="1"/>
    <col min="8" max="8" width="32.140625" style="63" customWidth="1"/>
    <col min="9" max="9" width="9.140625" style="74"/>
  </cols>
  <sheetData>
    <row r="1" spans="2:13" ht="18">
      <c r="B1" s="72" t="s">
        <v>516</v>
      </c>
      <c r="G1" s="127"/>
      <c r="H1" s="128"/>
      <c r="I1" s="168"/>
      <c r="J1" s="127"/>
      <c r="K1" s="127"/>
      <c r="L1" s="127"/>
      <c r="M1" s="127"/>
    </row>
    <row r="2" spans="2:13">
      <c r="B2" s="9" t="s">
        <v>515</v>
      </c>
      <c r="G2" s="127"/>
      <c r="H2" s="128"/>
      <c r="I2" s="168"/>
      <c r="J2" s="127"/>
      <c r="K2" s="127"/>
      <c r="L2" s="127"/>
      <c r="M2" s="127"/>
    </row>
    <row r="3" spans="2:13">
      <c r="G3" s="127"/>
      <c r="H3" s="128"/>
      <c r="I3" s="168"/>
      <c r="J3" s="127"/>
      <c r="K3" s="127"/>
      <c r="L3" s="127"/>
      <c r="M3" s="127"/>
    </row>
    <row r="4" spans="2:13" ht="15.75">
      <c r="B4" s="103" t="s">
        <v>168</v>
      </c>
      <c r="G4" s="127"/>
      <c r="H4" s="128"/>
      <c r="I4" s="168"/>
      <c r="J4" s="127"/>
      <c r="K4" s="127"/>
      <c r="L4" s="127"/>
      <c r="M4" s="127"/>
    </row>
    <row r="5" spans="2:13">
      <c r="B5" s="35" t="s">
        <v>74</v>
      </c>
      <c r="C5" s="79"/>
      <c r="D5" s="79"/>
      <c r="G5" s="127"/>
      <c r="H5" s="128"/>
      <c r="I5" s="168"/>
      <c r="J5" s="127"/>
      <c r="K5" s="127"/>
      <c r="L5" s="127"/>
      <c r="M5" s="127"/>
    </row>
    <row r="6" spans="2:13">
      <c r="F6" s="9"/>
      <c r="G6" s="127"/>
      <c r="H6" s="128"/>
      <c r="I6" s="168"/>
      <c r="J6" s="127"/>
      <c r="K6" s="127"/>
      <c r="L6" s="127"/>
      <c r="M6" s="127"/>
    </row>
    <row r="7" spans="2:13">
      <c r="G7" s="127"/>
      <c r="H7" s="128"/>
      <c r="I7" s="168"/>
      <c r="J7" s="127"/>
      <c r="K7" s="127"/>
      <c r="L7" s="127"/>
      <c r="M7" s="127"/>
    </row>
    <row r="8" spans="2:13">
      <c r="G8" s="127"/>
      <c r="H8" s="128"/>
      <c r="I8" s="168"/>
      <c r="J8" s="127"/>
      <c r="K8" s="127"/>
      <c r="L8" s="127"/>
      <c r="M8" s="127"/>
    </row>
    <row r="9" spans="2:13">
      <c r="G9" s="127"/>
      <c r="H9" s="128"/>
      <c r="I9" s="168"/>
      <c r="J9" s="127"/>
      <c r="K9" s="127"/>
      <c r="L9" s="127"/>
      <c r="M9" s="127"/>
    </row>
    <row r="10" spans="2:13">
      <c r="G10" s="127"/>
      <c r="H10" s="128"/>
      <c r="I10" s="168"/>
      <c r="J10" s="127"/>
      <c r="K10" s="127"/>
      <c r="L10" s="127"/>
      <c r="M10" s="127"/>
    </row>
    <row r="11" spans="2:13">
      <c r="G11" s="127"/>
      <c r="H11" s="128"/>
      <c r="I11" s="168"/>
      <c r="J11" s="127"/>
      <c r="K11" s="127"/>
      <c r="L11" s="127"/>
      <c r="M11" s="127"/>
    </row>
    <row r="12" spans="2:13">
      <c r="G12" s="127"/>
      <c r="H12" s="128"/>
      <c r="I12" s="168"/>
      <c r="J12" s="127"/>
      <c r="K12" s="127"/>
      <c r="L12" s="127"/>
      <c r="M12" s="127"/>
    </row>
    <row r="13" spans="2:13">
      <c r="G13" s="127"/>
      <c r="H13" s="128"/>
      <c r="I13" s="168"/>
      <c r="J13" s="127"/>
      <c r="K13" s="127"/>
      <c r="L13" s="127"/>
      <c r="M13" s="127"/>
    </row>
    <row r="14" spans="2:13">
      <c r="G14" s="127"/>
      <c r="H14" s="128"/>
      <c r="I14" s="168"/>
      <c r="J14" s="127"/>
      <c r="K14" s="127"/>
      <c r="L14" s="127"/>
      <c r="M14" s="127"/>
    </row>
    <row r="15" spans="2:13">
      <c r="G15" s="127"/>
      <c r="H15" s="128"/>
      <c r="I15" s="168"/>
      <c r="J15" s="127"/>
      <c r="K15" s="127"/>
      <c r="L15" s="127"/>
      <c r="M15" s="127"/>
    </row>
    <row r="16" spans="2:13">
      <c r="G16" s="127"/>
      <c r="H16" s="128"/>
      <c r="I16" s="168"/>
      <c r="J16" s="127"/>
      <c r="K16" s="127"/>
      <c r="L16" s="127"/>
      <c r="M16" s="127"/>
    </row>
    <row r="17" spans="1:13">
      <c r="G17" s="127"/>
      <c r="H17" s="128"/>
      <c r="I17" s="168"/>
      <c r="J17" s="127"/>
      <c r="K17" s="127"/>
      <c r="L17" s="127"/>
      <c r="M17" s="127"/>
    </row>
    <row r="18" spans="1:13">
      <c r="G18" s="127"/>
      <c r="H18" s="128"/>
      <c r="I18" s="168"/>
      <c r="J18" s="127"/>
      <c r="K18" s="127"/>
      <c r="L18" s="127"/>
      <c r="M18" s="127"/>
    </row>
    <row r="19" spans="1:13">
      <c r="G19" s="127"/>
      <c r="H19" s="128"/>
      <c r="I19" s="168"/>
      <c r="J19" s="127"/>
      <c r="K19" s="127"/>
      <c r="L19" s="127"/>
      <c r="M19" s="127"/>
    </row>
    <row r="20" spans="1:13">
      <c r="G20" s="127"/>
      <c r="H20" s="128"/>
      <c r="I20" s="168"/>
      <c r="J20" s="127"/>
      <c r="K20" s="127"/>
      <c r="L20" s="127"/>
      <c r="M20" s="127"/>
    </row>
    <row r="21" spans="1:13">
      <c r="G21" s="127"/>
      <c r="H21" s="128"/>
      <c r="I21" s="168"/>
      <c r="J21" s="127"/>
      <c r="K21" s="127"/>
      <c r="L21" s="127"/>
      <c r="M21" s="127"/>
    </row>
    <row r="22" spans="1:13">
      <c r="G22" s="127"/>
      <c r="H22" s="128"/>
      <c r="I22" s="168"/>
      <c r="J22" s="127"/>
      <c r="K22" s="127"/>
      <c r="L22" s="127"/>
      <c r="M22" s="127"/>
    </row>
    <row r="23" spans="1:13">
      <c r="G23" s="127"/>
      <c r="H23" s="128"/>
      <c r="I23" s="168"/>
      <c r="J23" s="127"/>
      <c r="K23" s="127"/>
      <c r="L23" s="127"/>
      <c r="M23" s="127"/>
    </row>
    <row r="24" spans="1:13">
      <c r="G24" s="127"/>
      <c r="H24" s="128"/>
      <c r="I24" s="168"/>
      <c r="J24" s="127"/>
      <c r="K24" s="127"/>
      <c r="L24" s="127"/>
      <c r="M24" s="127"/>
    </row>
    <row r="25" spans="1:13">
      <c r="G25" s="127"/>
      <c r="H25" s="128"/>
      <c r="I25" s="168"/>
      <c r="J25" s="127"/>
      <c r="K25" s="127"/>
      <c r="L25" s="127"/>
      <c r="M25" s="127"/>
    </row>
    <row r="26" spans="1:13" ht="13.5" thickBot="1">
      <c r="G26" s="127"/>
      <c r="H26" s="128"/>
      <c r="I26" s="168"/>
      <c r="J26" s="127"/>
      <c r="K26" s="127"/>
      <c r="L26" s="127"/>
      <c r="M26" s="127"/>
    </row>
    <row r="27" spans="1:13" ht="13.5" thickBot="1">
      <c r="A27" s="144" t="s">
        <v>554</v>
      </c>
      <c r="B27" s="349" t="s">
        <v>550</v>
      </c>
      <c r="C27" s="347"/>
      <c r="D27" s="347"/>
      <c r="E27" s="348"/>
      <c r="F27" s="127"/>
      <c r="G27" s="127"/>
      <c r="H27" s="128"/>
      <c r="I27" s="168"/>
      <c r="J27" s="127"/>
      <c r="K27" s="127"/>
      <c r="L27" s="127"/>
      <c r="M27" s="127"/>
    </row>
    <row r="28" spans="1:13" ht="13.5" thickBot="1">
      <c r="B28" s="201" t="s">
        <v>394</v>
      </c>
      <c r="E28" s="208"/>
      <c r="G28" s="127"/>
      <c r="H28" s="128"/>
      <c r="I28" s="168"/>
      <c r="J28" s="127"/>
      <c r="K28" s="127"/>
      <c r="L28" s="127"/>
      <c r="M28" s="127"/>
    </row>
    <row r="29" spans="1:13">
      <c r="D29" s="192" t="s">
        <v>370</v>
      </c>
      <c r="E29" s="199" t="s">
        <v>401</v>
      </c>
      <c r="F29" s="193" t="s">
        <v>368</v>
      </c>
      <c r="G29" s="127"/>
      <c r="H29" s="128"/>
      <c r="I29" s="168"/>
      <c r="J29" s="127"/>
      <c r="K29" s="127"/>
      <c r="L29" s="127"/>
      <c r="M29" s="127"/>
    </row>
    <row r="30" spans="1:13" ht="13.5" thickBot="1">
      <c r="C30" s="128"/>
      <c r="D30" s="194" t="s">
        <v>371</v>
      </c>
      <c r="E30" s="200" t="s">
        <v>27</v>
      </c>
      <c r="F30" s="195" t="s">
        <v>13</v>
      </c>
      <c r="G30" s="127"/>
      <c r="H30" s="128"/>
      <c r="I30" s="168"/>
      <c r="J30" s="127"/>
      <c r="K30" s="127"/>
      <c r="L30" s="127"/>
      <c r="M30" s="127"/>
    </row>
    <row r="31" spans="1:13">
      <c r="C31" s="296" t="s">
        <v>340</v>
      </c>
      <c r="D31" s="197">
        <v>40</v>
      </c>
      <c r="E31" s="198">
        <v>307</v>
      </c>
      <c r="F31" s="196">
        <v>51.5</v>
      </c>
      <c r="G31" s="127"/>
      <c r="H31" s="128"/>
      <c r="I31" s="168"/>
      <c r="J31" s="127"/>
      <c r="K31" s="127"/>
      <c r="L31" s="127"/>
      <c r="M31" s="127"/>
    </row>
    <row r="32" spans="1:13">
      <c r="C32" s="297" t="s">
        <v>373</v>
      </c>
      <c r="D32" s="282">
        <v>72</v>
      </c>
      <c r="E32" s="283">
        <v>597</v>
      </c>
      <c r="F32" s="306">
        <v>97.4</v>
      </c>
      <c r="G32" s="127"/>
      <c r="H32" s="128"/>
      <c r="I32" s="168"/>
      <c r="J32" s="127"/>
      <c r="K32" s="127"/>
      <c r="L32" s="127"/>
      <c r="M32" s="127"/>
    </row>
    <row r="33" spans="3:13">
      <c r="C33" s="297" t="s">
        <v>372</v>
      </c>
      <c r="D33" s="282">
        <v>120</v>
      </c>
      <c r="E33" s="283">
        <v>1070</v>
      </c>
      <c r="F33" s="307">
        <v>163</v>
      </c>
      <c r="G33" s="127"/>
      <c r="H33" s="128"/>
      <c r="I33" s="168"/>
      <c r="J33" s="127"/>
      <c r="K33" s="127"/>
      <c r="L33" s="127"/>
      <c r="M33" s="127"/>
    </row>
    <row r="34" spans="3:13">
      <c r="C34" s="297"/>
      <c r="D34" s="282"/>
      <c r="E34" s="283"/>
      <c r="F34" s="308"/>
      <c r="G34" s="127"/>
      <c r="H34" s="128"/>
      <c r="I34" s="168"/>
      <c r="J34" s="127"/>
      <c r="K34" s="127"/>
      <c r="L34" s="127"/>
      <c r="M34" s="127"/>
    </row>
    <row r="35" spans="3:13">
      <c r="C35" s="297" t="s">
        <v>374</v>
      </c>
      <c r="D35" s="282">
        <v>61</v>
      </c>
      <c r="E35" s="283">
        <v>640</v>
      </c>
      <c r="F35" s="306">
        <v>92.1</v>
      </c>
      <c r="G35" s="127"/>
      <c r="H35" s="128"/>
      <c r="I35" s="168"/>
      <c r="J35" s="127"/>
      <c r="K35" s="127"/>
      <c r="L35" s="127"/>
      <c r="M35" s="127"/>
    </row>
    <row r="36" spans="3:13">
      <c r="C36" s="297" t="s">
        <v>376</v>
      </c>
      <c r="D36" s="282">
        <v>283</v>
      </c>
      <c r="E36" s="283">
        <v>3840</v>
      </c>
      <c r="F36" s="307">
        <v>459</v>
      </c>
      <c r="G36" s="127"/>
      <c r="H36" s="128"/>
      <c r="I36" s="168"/>
      <c r="J36" s="127"/>
      <c r="K36" s="127"/>
      <c r="L36" s="127"/>
      <c r="M36" s="127"/>
    </row>
    <row r="37" spans="3:13">
      <c r="C37" s="297" t="s">
        <v>375</v>
      </c>
      <c r="D37" s="282">
        <v>500</v>
      </c>
      <c r="E37" s="283">
        <v>8210</v>
      </c>
      <c r="F37" s="307">
        <v>838</v>
      </c>
      <c r="G37" s="127"/>
      <c r="H37" s="128"/>
      <c r="I37" s="168"/>
      <c r="J37" s="127"/>
      <c r="K37" s="127"/>
      <c r="L37" s="127"/>
      <c r="M37" s="127"/>
    </row>
    <row r="38" spans="3:13">
      <c r="C38" s="297"/>
      <c r="D38" s="282"/>
      <c r="E38" s="283"/>
      <c r="F38" s="308"/>
      <c r="G38" s="127"/>
      <c r="H38" s="128"/>
      <c r="I38" s="168"/>
      <c r="J38" s="127"/>
      <c r="K38" s="127"/>
      <c r="L38" s="127"/>
      <c r="M38" s="127"/>
    </row>
    <row r="39" spans="3:13">
      <c r="C39" s="297" t="s">
        <v>377</v>
      </c>
      <c r="D39" s="282">
        <v>50</v>
      </c>
      <c r="E39" s="283">
        <v>659</v>
      </c>
      <c r="F39" s="306">
        <v>81</v>
      </c>
      <c r="G39" s="127"/>
      <c r="H39" s="128"/>
      <c r="I39" s="168"/>
      <c r="J39" s="127"/>
      <c r="K39" s="127"/>
      <c r="L39" s="127"/>
      <c r="M39" s="127"/>
    </row>
    <row r="40" spans="3:13">
      <c r="C40" s="297" t="s">
        <v>378</v>
      </c>
      <c r="D40" s="282">
        <v>100</v>
      </c>
      <c r="E40" s="283">
        <v>1500</v>
      </c>
      <c r="F40" s="307">
        <v>177</v>
      </c>
      <c r="G40" s="127"/>
      <c r="H40" s="128"/>
      <c r="I40" s="168"/>
      <c r="J40" s="127"/>
      <c r="K40" s="127"/>
      <c r="L40" s="127"/>
      <c r="M40" s="127"/>
    </row>
    <row r="41" spans="3:13">
      <c r="C41" s="297"/>
      <c r="D41" s="282"/>
      <c r="E41" s="283"/>
      <c r="F41" s="308"/>
      <c r="G41" s="127"/>
      <c r="H41" s="128"/>
      <c r="I41" s="168"/>
      <c r="J41" s="127"/>
      <c r="K41" s="127"/>
      <c r="L41" s="127"/>
      <c r="M41" s="127"/>
    </row>
    <row r="42" spans="3:13">
      <c r="C42" s="297" t="s">
        <v>11</v>
      </c>
      <c r="D42" s="282">
        <v>60</v>
      </c>
      <c r="E42" s="283">
        <v>984</v>
      </c>
      <c r="F42" s="306">
        <v>108</v>
      </c>
      <c r="G42" s="127"/>
      <c r="H42" s="128"/>
      <c r="I42" s="168"/>
      <c r="J42" s="127"/>
      <c r="K42" s="127"/>
      <c r="L42" s="127"/>
      <c r="M42" s="127"/>
    </row>
    <row r="43" spans="3:13">
      <c r="C43" s="297" t="s">
        <v>380</v>
      </c>
      <c r="D43" s="282">
        <v>158</v>
      </c>
      <c r="E43" s="283">
        <v>3060</v>
      </c>
      <c r="F43" s="307">
        <v>310</v>
      </c>
      <c r="G43" s="127"/>
      <c r="H43" s="128"/>
      <c r="I43" s="168"/>
      <c r="J43" s="127"/>
      <c r="K43" s="127"/>
      <c r="L43" s="127"/>
      <c r="M43" s="127"/>
    </row>
    <row r="44" spans="3:13">
      <c r="C44" s="297" t="s">
        <v>379</v>
      </c>
      <c r="D44" s="282">
        <v>283</v>
      </c>
      <c r="E44" s="283">
        <v>564</v>
      </c>
      <c r="F44" s="308">
        <v>6160</v>
      </c>
      <c r="G44" s="127"/>
      <c r="H44" s="128"/>
      <c r="I44" s="168"/>
      <c r="J44" s="127"/>
      <c r="K44" s="127"/>
      <c r="L44" s="127"/>
      <c r="M44" s="127"/>
    </row>
    <row r="45" spans="3:13">
      <c r="C45" s="297"/>
      <c r="D45" s="282"/>
      <c r="E45" s="283"/>
      <c r="F45" s="308"/>
      <c r="G45" s="127"/>
      <c r="H45" s="128"/>
      <c r="I45" s="168"/>
      <c r="J45" s="127"/>
      <c r="K45" s="127"/>
      <c r="L45" s="127"/>
      <c r="M45" s="127"/>
    </row>
    <row r="46" spans="3:13">
      <c r="C46" s="297" t="s">
        <v>381</v>
      </c>
      <c r="D46" s="282">
        <v>62</v>
      </c>
      <c r="E46" s="283">
        <v>1560</v>
      </c>
      <c r="F46" s="307">
        <v>132</v>
      </c>
      <c r="G46" s="127"/>
      <c r="H46" s="128"/>
      <c r="I46" s="168"/>
      <c r="J46" s="127"/>
      <c r="K46" s="127"/>
      <c r="L46" s="127"/>
      <c r="M46" s="127"/>
    </row>
    <row r="47" spans="3:13">
      <c r="C47" s="297" t="s">
        <v>383</v>
      </c>
      <c r="D47" s="282">
        <v>250</v>
      </c>
      <c r="E47" s="283">
        <v>8490</v>
      </c>
      <c r="F47" s="307">
        <v>644</v>
      </c>
      <c r="G47" s="127"/>
      <c r="H47" s="128"/>
      <c r="I47" s="168"/>
      <c r="J47" s="127"/>
      <c r="K47" s="127"/>
      <c r="L47" s="127"/>
      <c r="M47" s="127"/>
    </row>
    <row r="48" spans="3:13" ht="13.5" thickBot="1">
      <c r="C48" s="298" t="s">
        <v>382</v>
      </c>
      <c r="D48" s="286">
        <v>450</v>
      </c>
      <c r="E48" s="287">
        <v>17100</v>
      </c>
      <c r="F48" s="309">
        <v>1170</v>
      </c>
      <c r="G48" s="127"/>
      <c r="H48" s="128"/>
      <c r="I48" s="168"/>
      <c r="J48" s="127"/>
      <c r="K48" s="127"/>
      <c r="L48" s="127"/>
      <c r="M48" s="127"/>
    </row>
    <row r="49" spans="7:13">
      <c r="G49" s="127"/>
      <c r="H49" s="128"/>
      <c r="I49" s="168"/>
      <c r="J49" s="127"/>
      <c r="K49" s="127"/>
      <c r="L49" s="127"/>
      <c r="M49" s="127"/>
    </row>
    <row r="50" spans="7:13">
      <c r="G50" s="127"/>
      <c r="H50" s="128"/>
      <c r="I50" s="168"/>
      <c r="J50" s="127"/>
      <c r="K50" s="127"/>
      <c r="L50" s="127"/>
      <c r="M50" s="127"/>
    </row>
    <row r="51" spans="7:13">
      <c r="G51" s="127"/>
      <c r="H51" s="128"/>
      <c r="I51" s="168"/>
      <c r="J51" s="127"/>
      <c r="K51" s="127"/>
      <c r="L51" s="127"/>
      <c r="M51" s="127"/>
    </row>
    <row r="52" spans="7:13">
      <c r="G52" s="127"/>
      <c r="H52" s="128"/>
      <c r="I52" s="168"/>
      <c r="J52" s="127"/>
      <c r="K52" s="127"/>
      <c r="L52" s="127"/>
      <c r="M52" s="127"/>
    </row>
    <row r="53" spans="7:13">
      <c r="G53" s="127"/>
      <c r="H53" s="128"/>
      <c r="I53" s="168"/>
      <c r="J53" s="127"/>
      <c r="K53" s="127"/>
      <c r="L53" s="127"/>
      <c r="M53" s="127"/>
    </row>
    <row r="54" spans="7:13">
      <c r="G54" s="127"/>
      <c r="H54" s="128"/>
      <c r="I54" s="168"/>
      <c r="J54" s="127"/>
      <c r="K54" s="127"/>
      <c r="L54" s="127"/>
      <c r="M54" s="127"/>
    </row>
    <row r="55" spans="7:13">
      <c r="G55" s="127"/>
      <c r="H55" s="128"/>
      <c r="I55" s="168"/>
      <c r="J55" s="127"/>
      <c r="K55" s="127"/>
      <c r="L55" s="127"/>
      <c r="M55" s="127"/>
    </row>
    <row r="56" spans="7:13">
      <c r="G56" s="127"/>
      <c r="H56" s="128"/>
      <c r="I56" s="168"/>
      <c r="J56" s="127"/>
      <c r="K56" s="127"/>
      <c r="L56" s="127"/>
      <c r="M56" s="127"/>
    </row>
    <row r="57" spans="7:13">
      <c r="G57" s="127"/>
      <c r="H57" s="128"/>
      <c r="I57" s="168"/>
      <c r="J57" s="127"/>
      <c r="K57" s="127"/>
      <c r="L57" s="127"/>
      <c r="M57" s="127"/>
    </row>
    <row r="58" spans="7:13">
      <c r="G58" s="127"/>
      <c r="H58" s="128"/>
      <c r="I58" s="168"/>
      <c r="J58" s="127"/>
      <c r="K58" s="127"/>
      <c r="L58" s="127"/>
      <c r="M58" s="127"/>
    </row>
    <row r="59" spans="7:13">
      <c r="G59" s="127"/>
      <c r="H59" s="128"/>
      <c r="I59" s="168"/>
      <c r="J59" s="127"/>
      <c r="K59" s="127"/>
      <c r="L59" s="127"/>
      <c r="M59" s="127"/>
    </row>
    <row r="60" spans="7:13">
      <c r="G60" s="127"/>
      <c r="H60" s="128"/>
      <c r="I60" s="168"/>
      <c r="J60" s="127"/>
      <c r="K60" s="127"/>
      <c r="L60" s="127"/>
      <c r="M60" s="127"/>
    </row>
    <row r="61" spans="7:13">
      <c r="G61" s="127"/>
      <c r="H61" s="172"/>
      <c r="I61" s="168"/>
      <c r="J61" s="127"/>
      <c r="K61" s="65"/>
      <c r="L61" s="127"/>
      <c r="M61" s="127"/>
    </row>
    <row r="62" spans="7:13">
      <c r="G62" s="127"/>
      <c r="H62" s="128"/>
      <c r="I62" s="168"/>
      <c r="J62" s="127"/>
      <c r="K62" s="127"/>
      <c r="L62" s="127"/>
      <c r="M62" s="127"/>
    </row>
    <row r="63" spans="7:13">
      <c r="G63" s="127"/>
      <c r="H63" s="128"/>
      <c r="I63" s="168"/>
      <c r="J63" s="127"/>
      <c r="K63" s="127"/>
      <c r="L63" s="127"/>
      <c r="M63" s="127"/>
    </row>
    <row r="64" spans="7:13">
      <c r="G64" s="127"/>
      <c r="H64" s="128"/>
      <c r="I64" s="168"/>
      <c r="J64" s="127"/>
      <c r="K64" s="127"/>
      <c r="L64" s="65"/>
      <c r="M64" s="127"/>
    </row>
    <row r="65" spans="2:13">
      <c r="G65" s="127"/>
      <c r="H65" s="128"/>
      <c r="I65" s="168"/>
      <c r="J65" s="127"/>
      <c r="K65" s="127"/>
      <c r="L65" s="65"/>
      <c r="M65" s="127"/>
    </row>
    <row r="66" spans="2:13">
      <c r="G66" s="127"/>
      <c r="H66" s="129"/>
      <c r="I66" s="130"/>
      <c r="J66" s="65"/>
      <c r="K66" s="65"/>
      <c r="L66" s="65"/>
      <c r="M66" s="127"/>
    </row>
    <row r="67" spans="2:13">
      <c r="G67" s="127"/>
      <c r="H67" s="131"/>
      <c r="I67" s="132"/>
      <c r="J67" s="133"/>
      <c r="K67" s="132"/>
      <c r="L67" s="65"/>
      <c r="M67" s="127"/>
    </row>
    <row r="68" spans="2:13">
      <c r="G68" s="127"/>
      <c r="H68" s="128"/>
      <c r="I68" s="168"/>
      <c r="J68" s="127"/>
      <c r="K68" s="127"/>
      <c r="L68" s="65"/>
      <c r="M68" s="127"/>
    </row>
    <row r="69" spans="2:13">
      <c r="G69" s="127"/>
      <c r="H69" s="128"/>
      <c r="I69" s="168"/>
      <c r="J69" s="127"/>
      <c r="K69" s="127"/>
      <c r="L69" s="65"/>
      <c r="M69" s="127"/>
    </row>
    <row r="70" spans="2:13">
      <c r="G70" s="127"/>
      <c r="H70" s="143"/>
      <c r="I70" s="191"/>
      <c r="J70" s="141"/>
      <c r="K70" s="127"/>
      <c r="L70" s="66"/>
      <c r="M70" s="127"/>
    </row>
    <row r="71" spans="2:13" ht="13.5" thickBot="1">
      <c r="B71" s="35" t="s">
        <v>317</v>
      </c>
      <c r="C71" s="32" t="s">
        <v>10</v>
      </c>
      <c r="D71" s="20"/>
      <c r="G71" s="127"/>
      <c r="H71" s="143"/>
      <c r="I71" s="316"/>
      <c r="J71" s="141"/>
      <c r="K71" s="127"/>
      <c r="L71" s="127"/>
      <c r="M71" s="127"/>
    </row>
    <row r="72" spans="2:13" ht="13.5" thickBot="1">
      <c r="B72" s="21" t="s">
        <v>32</v>
      </c>
      <c r="C72" s="52">
        <v>15000</v>
      </c>
      <c r="D72" s="15" t="s">
        <v>16</v>
      </c>
      <c r="E72" s="17" t="s">
        <v>42</v>
      </c>
      <c r="F72" s="183">
        <v>18</v>
      </c>
      <c r="G72" s="127"/>
      <c r="H72" s="255"/>
      <c r="I72" s="317"/>
      <c r="J72" s="256"/>
      <c r="K72" s="127"/>
      <c r="L72" s="127"/>
      <c r="M72" s="127"/>
    </row>
    <row r="73" spans="2:13" ht="13.5" thickBot="1">
      <c r="B73" s="21" t="s">
        <v>60</v>
      </c>
      <c r="C73" s="53">
        <v>80</v>
      </c>
      <c r="D73" s="15" t="s">
        <v>20</v>
      </c>
      <c r="E73" s="71" t="s">
        <v>43</v>
      </c>
      <c r="F73" s="18" t="s">
        <v>44</v>
      </c>
      <c r="G73" s="127"/>
      <c r="H73" s="255"/>
      <c r="I73" s="317"/>
      <c r="J73" s="256"/>
      <c r="K73" s="127"/>
      <c r="L73" s="127"/>
      <c r="M73" s="127"/>
    </row>
    <row r="74" spans="2:13" ht="13.5" thickBot="1">
      <c r="B74" s="21" t="s">
        <v>160</v>
      </c>
      <c r="C74" s="53">
        <v>18</v>
      </c>
      <c r="D74" s="15" t="s">
        <v>17</v>
      </c>
      <c r="E74" s="70" t="s">
        <v>6</v>
      </c>
      <c r="F74" s="18">
        <f>F72*12</f>
        <v>216</v>
      </c>
      <c r="G74" s="127"/>
      <c r="H74" s="255"/>
      <c r="I74" s="317"/>
      <c r="J74" s="256"/>
      <c r="K74" s="127"/>
      <c r="L74" s="127"/>
      <c r="M74" s="127"/>
    </row>
    <row r="75" spans="2:13">
      <c r="B75" s="39" t="s">
        <v>367</v>
      </c>
      <c r="C75" s="53">
        <v>120</v>
      </c>
      <c r="D75" s="15" t="s">
        <v>29</v>
      </c>
      <c r="E75" s="15"/>
      <c r="G75" s="127"/>
      <c r="H75" s="255"/>
      <c r="I75" s="317"/>
      <c r="J75" s="256"/>
      <c r="K75" s="127"/>
      <c r="L75" s="127"/>
      <c r="M75" s="127"/>
    </row>
    <row r="76" spans="2:13">
      <c r="B76" s="21" t="s">
        <v>216</v>
      </c>
      <c r="C76" s="53" t="s">
        <v>11</v>
      </c>
      <c r="D76" s="15" t="s">
        <v>22</v>
      </c>
      <c r="E76" s="15"/>
      <c r="F76" s="15"/>
      <c r="G76" s="127"/>
      <c r="H76" s="255"/>
      <c r="I76" s="317"/>
      <c r="J76" s="256"/>
      <c r="K76" s="127"/>
      <c r="L76" s="127"/>
      <c r="M76" s="127"/>
    </row>
    <row r="77" spans="2:13">
      <c r="B77" s="21" t="s">
        <v>31</v>
      </c>
      <c r="C77" s="53">
        <v>60</v>
      </c>
      <c r="D77" s="15" t="s">
        <v>55</v>
      </c>
      <c r="E77" s="15"/>
      <c r="F77" s="15"/>
      <c r="G77" s="127"/>
      <c r="H77" s="255"/>
      <c r="I77" s="317"/>
      <c r="J77" s="256"/>
      <c r="K77" s="127"/>
      <c r="L77" s="127"/>
      <c r="M77" s="127"/>
    </row>
    <row r="78" spans="2:13">
      <c r="B78" s="21" t="s">
        <v>369</v>
      </c>
      <c r="C78" s="315">
        <v>108</v>
      </c>
      <c r="D78" s="24" t="s">
        <v>13</v>
      </c>
      <c r="E78" s="15"/>
      <c r="F78" s="15"/>
      <c r="G78" s="127"/>
      <c r="H78" s="255"/>
      <c r="I78" s="317"/>
      <c r="J78" s="256"/>
      <c r="K78" s="127"/>
      <c r="L78" s="127"/>
      <c r="M78" s="127"/>
    </row>
    <row r="79" spans="2:13">
      <c r="B79" s="21" t="s">
        <v>296</v>
      </c>
      <c r="C79" s="53">
        <v>984</v>
      </c>
      <c r="D79" s="15" t="s">
        <v>27</v>
      </c>
      <c r="E79" s="15"/>
      <c r="F79" s="15"/>
      <c r="G79" s="127"/>
      <c r="H79" s="255"/>
      <c r="I79" s="317"/>
      <c r="J79" s="256"/>
      <c r="K79" s="127"/>
      <c r="L79" s="127"/>
      <c r="M79" s="127"/>
    </row>
    <row r="80" spans="2:13">
      <c r="B80" s="21" t="s">
        <v>28</v>
      </c>
      <c r="C80" s="53">
        <v>29000000</v>
      </c>
      <c r="D80" s="15" t="s">
        <v>15</v>
      </c>
      <c r="E80" s="15"/>
      <c r="F80" s="15"/>
      <c r="G80" s="127"/>
      <c r="H80" s="255"/>
      <c r="I80" s="317"/>
      <c r="J80" s="256"/>
      <c r="K80" s="127"/>
      <c r="L80" s="127"/>
      <c r="M80" s="127"/>
    </row>
    <row r="81" spans="2:13" ht="13.5" thickBot="1">
      <c r="B81" s="21" t="s">
        <v>303</v>
      </c>
      <c r="C81" s="54">
        <v>22000</v>
      </c>
      <c r="D81" s="15" t="s">
        <v>15</v>
      </c>
      <c r="E81" s="15"/>
      <c r="F81" s="15"/>
      <c r="G81" s="127"/>
      <c r="H81" s="255"/>
      <c r="I81" s="317"/>
      <c r="J81" s="256"/>
      <c r="K81" s="127"/>
      <c r="L81" s="127"/>
      <c r="M81" s="127"/>
    </row>
    <row r="82" spans="2:13">
      <c r="B82" s="21"/>
      <c r="C82" s="32" t="s">
        <v>114</v>
      </c>
      <c r="D82" s="16"/>
      <c r="E82" s="16"/>
      <c r="F82" s="16"/>
      <c r="G82" s="127"/>
      <c r="H82" s="143"/>
      <c r="I82" s="191"/>
      <c r="J82" s="141"/>
      <c r="K82" s="127"/>
      <c r="L82" s="127"/>
      <c r="M82" s="127"/>
    </row>
    <row r="83" spans="2:13">
      <c r="B83" s="21" t="s">
        <v>161</v>
      </c>
      <c r="C83" s="23" t="s">
        <v>162</v>
      </c>
      <c r="D83" s="15"/>
      <c r="E83" s="15"/>
      <c r="F83" s="15"/>
      <c r="G83" s="127"/>
      <c r="H83" s="128"/>
      <c r="I83" s="168"/>
      <c r="J83" s="127"/>
      <c r="K83" s="127"/>
      <c r="L83" s="127"/>
      <c r="M83" s="127"/>
    </row>
    <row r="84" spans="2:13">
      <c r="B84" s="19" t="s">
        <v>6</v>
      </c>
      <c r="C84" s="25">
        <f>12*C74</f>
        <v>216</v>
      </c>
      <c r="D84" s="15" t="s">
        <v>20</v>
      </c>
      <c r="E84" s="15"/>
      <c r="F84" s="15"/>
      <c r="G84" s="127"/>
      <c r="H84" s="128"/>
      <c r="I84" s="168"/>
      <c r="J84" s="127"/>
      <c r="K84" s="127"/>
      <c r="L84" s="127"/>
      <c r="M84" s="127"/>
    </row>
    <row r="85" spans="2:13">
      <c r="B85" s="21" t="s">
        <v>120</v>
      </c>
      <c r="C85" s="23" t="s">
        <v>137</v>
      </c>
      <c r="D85" s="15"/>
      <c r="F85" s="15"/>
      <c r="G85" s="127"/>
      <c r="H85" s="128"/>
      <c r="I85" s="168"/>
      <c r="J85" s="127"/>
      <c r="K85" s="127"/>
      <c r="L85" s="127"/>
      <c r="M85" s="127"/>
    </row>
    <row r="86" spans="2:13">
      <c r="B86" s="19" t="s">
        <v>6</v>
      </c>
      <c r="C86" s="25">
        <f>C72</f>
        <v>15000</v>
      </c>
      <c r="D86" s="15" t="s">
        <v>16</v>
      </c>
      <c r="F86" s="15"/>
      <c r="G86" s="127"/>
      <c r="H86" s="128"/>
      <c r="I86" s="168"/>
      <c r="J86" s="127"/>
      <c r="K86" s="127"/>
      <c r="L86" s="127"/>
      <c r="M86" s="127"/>
    </row>
    <row r="87" spans="2:13">
      <c r="B87" s="21" t="s">
        <v>125</v>
      </c>
      <c r="C87" s="37" t="s">
        <v>138</v>
      </c>
      <c r="D87" s="15"/>
      <c r="E87" s="15"/>
      <c r="F87" s="15"/>
      <c r="G87" s="127"/>
      <c r="H87" s="128"/>
      <c r="I87" s="168"/>
      <c r="J87" s="127"/>
      <c r="K87" s="127"/>
      <c r="L87" s="127"/>
      <c r="M87" s="127"/>
    </row>
    <row r="88" spans="2:13">
      <c r="B88" s="21" t="s">
        <v>6</v>
      </c>
      <c r="C88" s="25">
        <f>-C86</f>
        <v>-15000</v>
      </c>
      <c r="D88" s="15" t="s">
        <v>16</v>
      </c>
      <c r="E88" s="15"/>
      <c r="F88" s="15"/>
      <c r="G88" s="127"/>
      <c r="H88" s="128"/>
      <c r="I88" s="168"/>
      <c r="J88" s="127"/>
      <c r="K88" s="127"/>
      <c r="L88" s="127"/>
      <c r="M88" s="127"/>
    </row>
    <row r="89" spans="2:13">
      <c r="B89" s="63" t="s">
        <v>139</v>
      </c>
      <c r="C89" t="s">
        <v>140</v>
      </c>
      <c r="E89" s="15"/>
      <c r="F89" s="15"/>
      <c r="G89" s="127"/>
      <c r="H89" s="128"/>
      <c r="I89" s="168"/>
      <c r="J89" s="127"/>
      <c r="K89" s="127"/>
      <c r="L89" s="127"/>
      <c r="M89" s="127"/>
    </row>
    <row r="90" spans="2:13">
      <c r="B90" s="63" t="s">
        <v>6</v>
      </c>
      <c r="C90" s="76">
        <f>C84-C73</f>
        <v>136</v>
      </c>
      <c r="D90" t="s">
        <v>20</v>
      </c>
      <c r="E90" s="15"/>
      <c r="G90" s="127"/>
      <c r="H90" s="128"/>
      <c r="I90" s="168"/>
      <c r="J90" s="127"/>
      <c r="K90" s="127"/>
      <c r="L90" s="127"/>
      <c r="M90" s="127"/>
    </row>
    <row r="91" spans="2:13">
      <c r="B91" s="63" t="s">
        <v>253</v>
      </c>
      <c r="C91" s="75" t="s">
        <v>256</v>
      </c>
      <c r="G91" s="127"/>
      <c r="H91" s="128"/>
      <c r="I91" s="168"/>
      <c r="J91" s="127"/>
      <c r="K91" s="127"/>
      <c r="L91" s="127"/>
      <c r="M91" s="127"/>
    </row>
    <row r="92" spans="2:13">
      <c r="B92" s="63" t="s">
        <v>6</v>
      </c>
      <c r="C92" s="74">
        <f>-C72*(C75-C73)</f>
        <v>-600000</v>
      </c>
      <c r="D92" s="15" t="s">
        <v>21</v>
      </c>
      <c r="G92" s="127"/>
      <c r="H92" s="128"/>
      <c r="I92" s="168"/>
      <c r="J92" s="127"/>
      <c r="K92" s="127"/>
      <c r="L92" s="127"/>
      <c r="M92" s="127"/>
    </row>
    <row r="93" spans="2:13">
      <c r="B93" s="21" t="s">
        <v>117</v>
      </c>
      <c r="C93" s="100" t="s">
        <v>172</v>
      </c>
      <c r="D93" s="15"/>
      <c r="G93" s="127"/>
      <c r="H93" s="128"/>
      <c r="I93" s="168"/>
      <c r="J93" s="127"/>
      <c r="K93" s="127"/>
      <c r="L93" s="127"/>
      <c r="M93" s="127"/>
    </row>
    <row r="94" spans="2:13">
      <c r="B94" s="19" t="s">
        <v>6</v>
      </c>
      <c r="C94" s="25">
        <f>-C72*C90</f>
        <v>-2040000</v>
      </c>
      <c r="D94" s="15" t="s">
        <v>21</v>
      </c>
      <c r="G94" s="127"/>
      <c r="H94" s="128"/>
      <c r="I94" s="168"/>
      <c r="J94" s="127"/>
      <c r="K94" s="127"/>
      <c r="L94" s="127"/>
      <c r="M94" s="127"/>
    </row>
    <row r="95" spans="2:13">
      <c r="G95" s="127"/>
      <c r="H95" s="128"/>
      <c r="I95" s="168"/>
      <c r="J95" s="127"/>
      <c r="K95" s="127"/>
      <c r="L95" s="127"/>
      <c r="M95" s="127"/>
    </row>
    <row r="96" spans="2:13">
      <c r="B96" s="58"/>
      <c r="C96" s="33"/>
      <c r="D96" s="28"/>
      <c r="E96" s="33"/>
      <c r="F96" s="42"/>
      <c r="G96" s="127"/>
      <c r="H96" s="128"/>
      <c r="I96" s="168"/>
      <c r="J96" s="127"/>
      <c r="K96" s="127"/>
      <c r="L96" s="127"/>
      <c r="M96" s="127"/>
    </row>
    <row r="97" spans="2:13">
      <c r="G97" s="127"/>
      <c r="H97" s="128"/>
      <c r="I97" s="168"/>
      <c r="J97" s="127"/>
      <c r="K97" s="127"/>
      <c r="L97" s="127"/>
      <c r="M97" s="127"/>
    </row>
    <row r="98" spans="2:13" ht="15">
      <c r="B98" s="101" t="s">
        <v>384</v>
      </c>
      <c r="C98" s="32" t="s">
        <v>173</v>
      </c>
      <c r="D98" s="15"/>
      <c r="E98" s="15"/>
      <c r="F98" s="15"/>
      <c r="G98" s="127"/>
      <c r="H98" s="128"/>
      <c r="I98" s="168"/>
      <c r="J98" s="127"/>
      <c r="K98" s="127"/>
      <c r="L98" s="127"/>
      <c r="M98" s="127"/>
    </row>
    <row r="99" spans="2:13" ht="15.75">
      <c r="B99" s="21" t="s">
        <v>388</v>
      </c>
      <c r="C99" s="23" t="s">
        <v>141</v>
      </c>
      <c r="D99" s="15"/>
      <c r="E99" s="15"/>
      <c r="F99" s="15"/>
      <c r="G99" s="127"/>
      <c r="H99" s="128"/>
      <c r="I99" s="168"/>
      <c r="J99" s="127"/>
      <c r="K99" s="127"/>
      <c r="L99" s="127"/>
      <c r="M99" s="127"/>
    </row>
    <row r="100" spans="2:13">
      <c r="B100" s="56" t="s">
        <v>6</v>
      </c>
      <c r="C100" s="38">
        <f>(C72*C90^2/(6*C80*C79))*(3*C84 - C90)</f>
        <v>0.82964956546117186</v>
      </c>
      <c r="D100" s="23" t="s">
        <v>20</v>
      </c>
      <c r="E100" s="15"/>
      <c r="F100" s="15"/>
      <c r="G100" s="127"/>
      <c r="H100" s="128"/>
      <c r="I100" s="168"/>
      <c r="J100" s="127"/>
      <c r="K100" s="127"/>
      <c r="L100" s="127"/>
      <c r="M100" s="127"/>
    </row>
    <row r="101" spans="2:13" ht="13.5" thickBot="1">
      <c r="B101" s="21" t="s">
        <v>342</v>
      </c>
      <c r="C101" s="23" t="s">
        <v>143</v>
      </c>
      <c r="D101" s="14"/>
      <c r="E101" s="15"/>
      <c r="G101" s="127"/>
      <c r="H101" s="128"/>
      <c r="I101" s="168"/>
      <c r="J101" s="127"/>
      <c r="K101" s="127"/>
      <c r="L101" s="127"/>
      <c r="M101" s="127"/>
    </row>
    <row r="102" spans="2:13" ht="13.5" thickBot="1">
      <c r="B102" s="56" t="s">
        <v>6</v>
      </c>
      <c r="C102" s="38">
        <f>(C72*C90^2/(6*C80*C79))*(3*C84 - 3*C75 - C90)</f>
        <v>0.24630221474628539</v>
      </c>
      <c r="D102" s="23" t="s">
        <v>20</v>
      </c>
      <c r="E102" s="123" t="str">
        <f>IF($C$75&lt;$C$73,"x &gt; a, OK","x &gt; a Not OK")</f>
        <v>x &gt; a Not OK</v>
      </c>
      <c r="G102" s="127"/>
      <c r="H102" s="128"/>
      <c r="I102" s="168"/>
      <c r="J102" s="127"/>
      <c r="K102" s="127"/>
      <c r="L102" s="127"/>
      <c r="M102" s="127"/>
    </row>
    <row r="103" spans="2:13">
      <c r="B103" s="21" t="s">
        <v>344</v>
      </c>
      <c r="C103" s="23" t="s">
        <v>300</v>
      </c>
      <c r="G103" s="127"/>
      <c r="H103" s="128"/>
      <c r="I103" s="168"/>
      <c r="J103" s="127"/>
      <c r="K103" s="127"/>
      <c r="L103" s="127"/>
      <c r="M103" s="127"/>
    </row>
    <row r="104" spans="2:13">
      <c r="B104" s="128" t="s">
        <v>6</v>
      </c>
      <c r="C104" s="38">
        <f>C72*C90^3/(3*C80*C79)</f>
        <v>0.44075133165124752</v>
      </c>
      <c r="D104" t="s">
        <v>20</v>
      </c>
      <c r="G104" s="127"/>
      <c r="H104" s="128"/>
      <c r="I104" s="168"/>
      <c r="J104" s="127"/>
      <c r="K104" s="127"/>
      <c r="L104" s="127"/>
      <c r="M104" s="127"/>
    </row>
    <row r="105" spans="2:13" ht="13.5" thickBot="1">
      <c r="B105" s="21" t="s">
        <v>343</v>
      </c>
      <c r="C105" s="23" t="s">
        <v>144</v>
      </c>
      <c r="D105" s="14"/>
      <c r="E105" s="15"/>
      <c r="G105" s="127"/>
      <c r="H105" s="128"/>
      <c r="I105" s="168"/>
      <c r="J105" s="127"/>
      <c r="K105" s="127"/>
      <c r="L105" s="127"/>
      <c r="M105" s="127"/>
    </row>
    <row r="106" spans="2:13" ht="13.5" thickBot="1">
      <c r="B106" s="63" t="s">
        <v>6</v>
      </c>
      <c r="C106" s="38">
        <f>(C72*(C84 - C75)^2/(6*C80*C79))*(3*C90 - C84 + C75)</f>
        <v>0.25190916736753577</v>
      </c>
      <c r="D106" t="s">
        <v>20</v>
      </c>
      <c r="E106" s="123" t="str">
        <f>IF(C75&gt;C73,"x &gt; a, OK","x &lt; a, Not OK")</f>
        <v>x &gt; a, OK</v>
      </c>
      <c r="G106" s="127"/>
      <c r="H106" s="128"/>
      <c r="I106" s="168"/>
      <c r="J106" s="127"/>
      <c r="K106" s="127"/>
      <c r="L106" s="127"/>
      <c r="M106" s="127"/>
    </row>
    <row r="107" spans="2:13">
      <c r="B107" s="21" t="s">
        <v>30</v>
      </c>
      <c r="C107" s="23" t="s">
        <v>205</v>
      </c>
      <c r="D107" s="15"/>
      <c r="E107" s="15"/>
      <c r="G107" s="127"/>
      <c r="H107" s="128"/>
      <c r="I107" s="168"/>
      <c r="J107" s="127"/>
      <c r="K107" s="127"/>
      <c r="L107" s="127"/>
      <c r="M107" s="127"/>
    </row>
    <row r="108" spans="2:13" ht="13.5" thickBot="1">
      <c r="B108" s="21" t="s">
        <v>6</v>
      </c>
      <c r="C108" s="30">
        <f>C84/360</f>
        <v>0.6</v>
      </c>
      <c r="D108" s="27" t="s">
        <v>20</v>
      </c>
      <c r="E108" s="15"/>
      <c r="G108" s="127"/>
      <c r="H108" s="128"/>
      <c r="I108" s="168"/>
      <c r="J108" s="127"/>
      <c r="K108" s="127"/>
      <c r="L108" s="127"/>
      <c r="M108" s="127"/>
    </row>
    <row r="109" spans="2:13">
      <c r="G109" s="127"/>
      <c r="H109" s="128"/>
      <c r="I109" s="168"/>
      <c r="J109" s="127"/>
      <c r="K109" s="127"/>
      <c r="L109" s="127"/>
      <c r="M109" s="127"/>
    </row>
    <row r="110" spans="2:13">
      <c r="B110" s="58"/>
      <c r="C110" s="33"/>
      <c r="D110" s="28"/>
      <c r="E110" s="33"/>
      <c r="F110" s="42"/>
      <c r="G110" s="127"/>
      <c r="H110" s="128"/>
      <c r="I110" s="168"/>
      <c r="J110" s="127"/>
      <c r="K110" s="127"/>
      <c r="L110" s="127"/>
      <c r="M110" s="127"/>
    </row>
    <row r="111" spans="2:13">
      <c r="G111" s="127"/>
      <c r="H111" s="128"/>
      <c r="I111" s="168"/>
      <c r="J111" s="127"/>
      <c r="K111" s="127"/>
      <c r="L111" s="127"/>
      <c r="M111" s="127"/>
    </row>
    <row r="112" spans="2:13">
      <c r="B112" s="35" t="s">
        <v>385</v>
      </c>
      <c r="C112" s="32" t="s">
        <v>174</v>
      </c>
      <c r="D112" s="15"/>
      <c r="E112" s="15"/>
      <c r="F112" s="41"/>
      <c r="G112" s="127"/>
      <c r="H112" s="128"/>
      <c r="I112" s="168"/>
      <c r="J112" s="127"/>
      <c r="K112" s="65"/>
      <c r="L112" s="65"/>
      <c r="M112" s="127"/>
    </row>
    <row r="113" spans="2:13">
      <c r="B113" s="39" t="s">
        <v>185</v>
      </c>
      <c r="C113" s="23" t="s">
        <v>119</v>
      </c>
      <c r="D113" s="14"/>
      <c r="E113" s="42"/>
      <c r="F113" s="41"/>
      <c r="G113" s="127"/>
      <c r="H113" s="128"/>
      <c r="I113" s="168"/>
      <c r="J113" s="127"/>
      <c r="K113" s="65"/>
      <c r="L113" s="65"/>
      <c r="M113" s="127"/>
    </row>
    <row r="114" spans="2:13">
      <c r="B114" s="56"/>
      <c r="C114" s="189">
        <f>(C72*C84^2) / (2*C80*C79)</f>
        <v>1.2262405382674516E-2</v>
      </c>
      <c r="D114" s="23" t="s">
        <v>69</v>
      </c>
      <c r="E114" s="62">
        <f>C114*57.3</f>
        <v>0.7026358284272497</v>
      </c>
      <c r="F114" t="s">
        <v>9</v>
      </c>
      <c r="G114" s="127"/>
      <c r="H114" s="128"/>
      <c r="I114" s="168"/>
      <c r="J114" s="127"/>
      <c r="K114" s="65"/>
      <c r="L114" s="65"/>
      <c r="M114" s="127"/>
    </row>
    <row r="115" spans="2:13">
      <c r="B115" s="39" t="s">
        <v>184</v>
      </c>
      <c r="C115" s="23">
        <v>0</v>
      </c>
      <c r="D115" s="14"/>
      <c r="E115" s="15"/>
      <c r="F115" s="41"/>
      <c r="G115" s="127"/>
      <c r="H115" s="128"/>
      <c r="I115" s="168"/>
      <c r="J115" s="127"/>
      <c r="K115" s="65"/>
      <c r="L115" s="65"/>
      <c r="M115" s="127"/>
    </row>
    <row r="116" spans="2:13">
      <c r="G116" s="127"/>
      <c r="H116" s="128"/>
      <c r="I116" s="168"/>
      <c r="J116" s="127"/>
      <c r="K116" s="127"/>
      <c r="L116" s="127"/>
      <c r="M116" s="127"/>
    </row>
    <row r="117" spans="2:13">
      <c r="B117" s="58"/>
      <c r="C117" s="33"/>
      <c r="D117" s="28"/>
      <c r="E117" s="33"/>
      <c r="F117" s="41"/>
      <c r="G117" s="127"/>
      <c r="H117" s="128"/>
      <c r="I117" s="168"/>
      <c r="J117" s="127"/>
      <c r="K117" s="127"/>
      <c r="L117" s="127"/>
      <c r="M117" s="127"/>
    </row>
    <row r="118" spans="2:13">
      <c r="G118" s="127"/>
      <c r="H118" s="128"/>
      <c r="I118" s="168"/>
      <c r="J118" s="127"/>
      <c r="K118" s="127"/>
      <c r="L118" s="127"/>
      <c r="M118" s="127"/>
    </row>
    <row r="119" spans="2:13" ht="15.75">
      <c r="B119" s="103" t="s">
        <v>386</v>
      </c>
      <c r="C119" s="79"/>
      <c r="F119" s="41"/>
      <c r="G119" s="127"/>
      <c r="H119" s="128"/>
      <c r="I119" s="168"/>
      <c r="J119" s="127"/>
      <c r="K119" s="127"/>
      <c r="L119" s="127"/>
      <c r="M119" s="127"/>
    </row>
    <row r="120" spans="2:13">
      <c r="B120" s="35" t="s">
        <v>74</v>
      </c>
      <c r="F120" s="41"/>
      <c r="G120" s="127"/>
      <c r="H120" s="128"/>
      <c r="I120" s="168"/>
      <c r="J120" s="127"/>
      <c r="K120" s="127"/>
      <c r="L120" s="127"/>
      <c r="M120" s="127"/>
    </row>
    <row r="121" spans="2:13">
      <c r="F121" s="41"/>
      <c r="G121" s="127"/>
      <c r="H121" s="128"/>
      <c r="I121" s="168"/>
      <c r="J121" s="127"/>
      <c r="K121" s="127"/>
      <c r="L121" s="127"/>
      <c r="M121" s="127"/>
    </row>
    <row r="122" spans="2:13">
      <c r="F122" s="41"/>
      <c r="G122" s="127"/>
      <c r="H122" s="128"/>
      <c r="I122" s="168"/>
      <c r="J122" s="127"/>
      <c r="K122" s="127"/>
      <c r="L122" s="127"/>
      <c r="M122" s="127"/>
    </row>
    <row r="123" spans="2:13">
      <c r="F123" s="102"/>
      <c r="G123" s="127"/>
      <c r="H123" s="128"/>
      <c r="I123" s="168"/>
      <c r="J123" s="127"/>
      <c r="K123" s="127"/>
      <c r="L123" s="127"/>
      <c r="M123" s="127"/>
    </row>
    <row r="124" spans="2:13">
      <c r="B124" s="21"/>
      <c r="C124" s="23"/>
      <c r="D124" s="15"/>
      <c r="E124" s="15"/>
      <c r="F124" s="41"/>
      <c r="G124" s="127"/>
      <c r="H124" s="128"/>
      <c r="I124" s="168"/>
      <c r="J124" s="127"/>
      <c r="K124" s="127"/>
      <c r="L124" s="127"/>
      <c r="M124" s="127"/>
    </row>
    <row r="125" spans="2:13">
      <c r="C125" s="23"/>
      <c r="D125" s="15"/>
      <c r="E125" s="15"/>
      <c r="F125" s="41"/>
      <c r="G125" s="127"/>
      <c r="H125" s="128"/>
      <c r="I125" s="168"/>
      <c r="J125" s="127"/>
      <c r="K125" s="127"/>
      <c r="L125" s="127"/>
      <c r="M125" s="127"/>
    </row>
    <row r="126" spans="2:13">
      <c r="B126" s="21"/>
      <c r="C126" s="23"/>
      <c r="D126" s="15"/>
      <c r="E126" s="15"/>
      <c r="F126" s="41"/>
      <c r="G126" s="127"/>
      <c r="H126" s="128"/>
      <c r="I126" s="168"/>
      <c r="J126" s="127"/>
      <c r="K126" s="127"/>
      <c r="L126" s="127"/>
      <c r="M126" s="127"/>
    </row>
    <row r="127" spans="2:13">
      <c r="B127" s="21"/>
      <c r="C127" s="23"/>
      <c r="D127" s="15"/>
      <c r="E127" s="15"/>
      <c r="F127" s="41"/>
      <c r="G127" s="127"/>
      <c r="H127" s="128"/>
      <c r="I127" s="168"/>
      <c r="J127" s="127"/>
      <c r="K127" s="127"/>
      <c r="L127" s="127"/>
      <c r="M127" s="127"/>
    </row>
    <row r="128" spans="2:13">
      <c r="B128" s="21"/>
      <c r="C128" s="23"/>
      <c r="D128" s="15"/>
      <c r="E128" s="15"/>
      <c r="F128" s="15"/>
      <c r="G128" s="127"/>
      <c r="H128" s="129"/>
      <c r="I128" s="130"/>
      <c r="J128" s="65"/>
      <c r="K128" s="65"/>
      <c r="L128" s="65"/>
      <c r="M128" s="127"/>
    </row>
    <row r="129" spans="2:13">
      <c r="B129" s="21"/>
      <c r="C129" s="23"/>
      <c r="D129" s="15"/>
      <c r="E129" s="15"/>
      <c r="F129" s="15"/>
      <c r="G129" s="127"/>
      <c r="H129" s="129"/>
      <c r="I129" s="130"/>
      <c r="J129" s="65"/>
      <c r="K129" s="65"/>
      <c r="L129" s="65"/>
      <c r="M129" s="127"/>
    </row>
    <row r="130" spans="2:13">
      <c r="B130" s="21"/>
      <c r="C130" s="23"/>
      <c r="D130" s="15"/>
      <c r="E130" s="15"/>
      <c r="F130" s="15"/>
      <c r="G130" s="127"/>
      <c r="H130" s="129"/>
      <c r="I130" s="130"/>
      <c r="J130" s="65"/>
      <c r="K130" s="65"/>
      <c r="L130" s="65"/>
      <c r="M130" s="127"/>
    </row>
    <row r="131" spans="2:13">
      <c r="B131" s="21"/>
      <c r="C131" s="23"/>
      <c r="D131" s="15"/>
      <c r="E131" s="15"/>
      <c r="F131" s="15"/>
      <c r="G131" s="127"/>
      <c r="H131" s="129"/>
      <c r="I131" s="130"/>
      <c r="J131" s="65"/>
      <c r="K131" s="65"/>
      <c r="L131" s="65"/>
      <c r="M131" s="127"/>
    </row>
    <row r="132" spans="2:13">
      <c r="B132" s="21"/>
      <c r="C132" s="23"/>
      <c r="D132" s="15"/>
      <c r="E132" s="15"/>
      <c r="F132" s="15"/>
      <c r="G132" s="127"/>
      <c r="H132" s="129"/>
      <c r="I132" s="130"/>
      <c r="J132" s="65"/>
      <c r="K132" s="65"/>
      <c r="L132" s="65"/>
      <c r="M132" s="127"/>
    </row>
    <row r="133" spans="2:13">
      <c r="B133" s="21"/>
      <c r="C133" s="23"/>
      <c r="D133" s="15"/>
      <c r="E133" s="15"/>
      <c r="F133" s="15"/>
      <c r="G133" s="127"/>
      <c r="H133" s="129"/>
      <c r="I133" s="130"/>
      <c r="J133" s="65"/>
      <c r="K133" s="65"/>
      <c r="L133" s="65"/>
      <c r="M133" s="127"/>
    </row>
    <row r="134" spans="2:13">
      <c r="B134" s="21"/>
      <c r="C134" s="23"/>
      <c r="D134" s="15"/>
      <c r="E134" s="15"/>
      <c r="G134" s="127"/>
      <c r="H134" s="128"/>
      <c r="I134" s="168"/>
      <c r="J134" s="127"/>
      <c r="K134" s="127"/>
      <c r="L134" s="127"/>
      <c r="M134" s="127"/>
    </row>
    <row r="135" spans="2:13">
      <c r="B135" s="21"/>
      <c r="C135" s="23"/>
      <c r="D135" s="15"/>
      <c r="E135" s="15"/>
      <c r="F135" s="15"/>
      <c r="G135" s="127"/>
      <c r="H135" s="128"/>
      <c r="I135" s="168"/>
      <c r="J135" s="127"/>
      <c r="K135" s="127"/>
      <c r="L135" s="127"/>
      <c r="M135" s="127"/>
    </row>
    <row r="136" spans="2:13">
      <c r="B136" s="21"/>
      <c r="C136" s="23"/>
      <c r="D136" s="15"/>
      <c r="E136" s="15"/>
      <c r="F136" s="15"/>
      <c r="G136" s="127"/>
      <c r="H136" s="128"/>
      <c r="I136" s="168"/>
      <c r="J136" s="127"/>
      <c r="K136" s="127"/>
      <c r="L136" s="127"/>
      <c r="M136" s="127"/>
    </row>
    <row r="137" spans="2:13">
      <c r="B137" s="21"/>
      <c r="C137" s="22"/>
      <c r="D137" s="15"/>
      <c r="E137" s="15"/>
      <c r="F137" s="15"/>
      <c r="G137" s="127"/>
      <c r="H137" s="128"/>
      <c r="I137" s="168"/>
      <c r="J137" s="127"/>
      <c r="K137" s="127"/>
      <c r="L137" s="127"/>
      <c r="M137" s="127"/>
    </row>
    <row r="138" spans="2:13">
      <c r="B138" s="21"/>
      <c r="C138" s="23"/>
      <c r="D138" s="15"/>
      <c r="E138" s="15"/>
      <c r="F138" s="15"/>
      <c r="G138" s="127"/>
      <c r="H138" s="128"/>
      <c r="I138" s="168"/>
      <c r="J138" s="127"/>
      <c r="K138" s="127"/>
      <c r="L138" s="127"/>
      <c r="M138" s="127"/>
    </row>
    <row r="139" spans="2:13">
      <c r="B139" s="21"/>
      <c r="C139" s="23"/>
      <c r="D139" s="15"/>
      <c r="E139" s="15"/>
      <c r="F139" s="15"/>
      <c r="G139" s="127"/>
      <c r="H139" s="128"/>
      <c r="I139" s="168"/>
      <c r="J139" s="127"/>
      <c r="K139" s="127"/>
      <c r="L139" s="127"/>
      <c r="M139" s="127"/>
    </row>
    <row r="140" spans="2:13">
      <c r="B140" s="21"/>
      <c r="C140" s="23"/>
      <c r="D140" s="15"/>
      <c r="E140" s="15"/>
      <c r="F140" s="15"/>
      <c r="G140" s="127"/>
      <c r="H140" s="128"/>
      <c r="I140" s="168"/>
      <c r="J140" s="127"/>
      <c r="K140" s="127"/>
      <c r="L140" s="127"/>
      <c r="M140" s="127"/>
    </row>
    <row r="141" spans="2:13">
      <c r="B141" s="21"/>
      <c r="C141" s="23"/>
      <c r="D141" s="15"/>
      <c r="E141" s="15"/>
      <c r="F141" s="15"/>
      <c r="G141" s="127"/>
      <c r="H141" s="128"/>
      <c r="I141" s="168"/>
      <c r="J141" s="127"/>
      <c r="K141" s="127"/>
      <c r="L141" s="127"/>
      <c r="M141" s="127"/>
    </row>
    <row r="142" spans="2:13">
      <c r="B142" s="21"/>
      <c r="C142" s="23"/>
      <c r="D142" s="15"/>
      <c r="E142" s="15"/>
      <c r="F142" s="15"/>
      <c r="G142" s="127"/>
      <c r="H142" s="128"/>
      <c r="I142" s="168"/>
      <c r="J142" s="127"/>
      <c r="K142" s="127"/>
      <c r="L142" s="127"/>
      <c r="M142" s="127"/>
    </row>
    <row r="143" spans="2:13">
      <c r="B143" s="21"/>
      <c r="C143" s="23"/>
      <c r="D143" s="15"/>
      <c r="E143" s="15"/>
      <c r="F143" s="15"/>
      <c r="G143" s="127"/>
      <c r="H143" s="128"/>
      <c r="I143" s="168"/>
      <c r="J143" s="127"/>
      <c r="K143" s="127"/>
      <c r="L143" s="127"/>
      <c r="M143" s="127"/>
    </row>
    <row r="144" spans="2:13">
      <c r="B144" s="21"/>
      <c r="C144" s="23"/>
      <c r="D144" s="15"/>
      <c r="E144" s="15"/>
      <c r="F144" s="15"/>
      <c r="G144" s="127"/>
      <c r="H144" s="128"/>
      <c r="I144" s="168"/>
      <c r="J144" s="127"/>
      <c r="K144" s="127"/>
      <c r="L144" s="127"/>
      <c r="M144" s="127"/>
    </row>
    <row r="145" spans="2:13">
      <c r="B145" s="35" t="s">
        <v>318</v>
      </c>
      <c r="C145" s="32" t="s">
        <v>23</v>
      </c>
      <c r="D145" s="16"/>
      <c r="E145" s="16"/>
      <c r="F145" s="15"/>
      <c r="G145" s="127"/>
      <c r="H145" s="129"/>
      <c r="I145" s="130"/>
      <c r="J145" s="65"/>
      <c r="K145" s="65"/>
      <c r="L145" s="65"/>
      <c r="M145" s="127"/>
    </row>
    <row r="146" spans="2:13">
      <c r="B146" s="21" t="s">
        <v>33</v>
      </c>
      <c r="C146" s="23" t="s">
        <v>163</v>
      </c>
      <c r="D146" s="15"/>
      <c r="E146" s="15"/>
      <c r="F146" s="15"/>
      <c r="G146" s="127"/>
      <c r="H146" s="129"/>
      <c r="I146" s="130"/>
      <c r="J146" s="65"/>
      <c r="K146" s="65"/>
      <c r="L146" s="65"/>
      <c r="M146" s="127"/>
    </row>
    <row r="147" spans="2:13">
      <c r="B147" s="19" t="s">
        <v>6</v>
      </c>
      <c r="C147" s="25">
        <f>C77*C74</f>
        <v>1080</v>
      </c>
      <c r="D147" s="15" t="s">
        <v>16</v>
      </c>
      <c r="E147" s="15"/>
      <c r="F147" s="15"/>
      <c r="G147" s="127"/>
      <c r="H147" s="129"/>
      <c r="I147" s="130"/>
      <c r="J147" s="65"/>
      <c r="K147" s="65"/>
      <c r="L147" s="65"/>
      <c r="M147" s="127"/>
    </row>
    <row r="148" spans="2:13" ht="15.75">
      <c r="B148" s="21" t="s">
        <v>124</v>
      </c>
      <c r="C148" s="23" t="s">
        <v>121</v>
      </c>
      <c r="D148" s="15"/>
      <c r="E148" s="15"/>
      <c r="F148" s="16"/>
      <c r="G148" s="127"/>
      <c r="H148" s="129"/>
      <c r="I148" s="130"/>
      <c r="J148" s="65"/>
      <c r="K148" s="65"/>
      <c r="L148" s="65"/>
      <c r="M148" s="127"/>
    </row>
    <row r="149" spans="2:13">
      <c r="B149" s="19" t="s">
        <v>6</v>
      </c>
      <c r="C149" s="25">
        <f>C147</f>
        <v>1080</v>
      </c>
      <c r="D149" s="15" t="s">
        <v>16</v>
      </c>
      <c r="E149" s="15"/>
      <c r="F149" s="15"/>
      <c r="G149" s="127"/>
      <c r="H149" s="129"/>
      <c r="I149" s="130"/>
      <c r="J149" s="65"/>
      <c r="K149" s="65"/>
      <c r="L149" s="65"/>
      <c r="M149" s="127"/>
    </row>
    <row r="150" spans="2:13" ht="15.75">
      <c r="B150" s="21" t="s">
        <v>125</v>
      </c>
      <c r="C150" s="23" t="s">
        <v>126</v>
      </c>
      <c r="D150" s="15"/>
      <c r="G150" s="127"/>
      <c r="H150" s="129"/>
      <c r="I150" s="130"/>
      <c r="J150" s="65"/>
      <c r="K150" s="65"/>
      <c r="L150" s="65"/>
      <c r="M150" s="127"/>
    </row>
    <row r="151" spans="2:13">
      <c r="B151" s="21" t="s">
        <v>6</v>
      </c>
      <c r="C151" s="25">
        <f>C149</f>
        <v>1080</v>
      </c>
      <c r="D151" s="15" t="s">
        <v>16</v>
      </c>
      <c r="G151" s="127"/>
      <c r="H151" s="129"/>
      <c r="I151" s="130"/>
      <c r="J151" s="65"/>
      <c r="K151" s="65"/>
      <c r="L151" s="65"/>
      <c r="M151" s="127"/>
    </row>
    <row r="152" spans="2:13">
      <c r="B152" s="21" t="s">
        <v>122</v>
      </c>
      <c r="C152" s="37" t="s">
        <v>129</v>
      </c>
      <c r="D152" s="15"/>
      <c r="E152" s="15"/>
      <c r="F152" s="15"/>
      <c r="G152" s="127"/>
      <c r="H152" s="129"/>
      <c r="I152" s="130"/>
      <c r="J152" s="65"/>
      <c r="K152" s="65"/>
      <c r="L152" s="65"/>
      <c r="M152" s="127"/>
    </row>
    <row r="153" spans="2:13">
      <c r="B153" s="21" t="s">
        <v>6</v>
      </c>
      <c r="C153" s="25">
        <f>-(C77/12)*C75</f>
        <v>-600</v>
      </c>
      <c r="D153" s="15" t="s">
        <v>16</v>
      </c>
      <c r="E153" s="15"/>
      <c r="F153" s="15"/>
      <c r="G153" s="127"/>
      <c r="H153" s="129"/>
      <c r="I153" s="130"/>
      <c r="J153" s="65"/>
      <c r="K153" s="66"/>
      <c r="L153" s="66"/>
      <c r="M153" s="127"/>
    </row>
    <row r="154" spans="2:13">
      <c r="B154" s="21" t="s">
        <v>36</v>
      </c>
      <c r="C154" s="37" t="s">
        <v>257</v>
      </c>
      <c r="D154" s="15"/>
      <c r="E154" s="15"/>
      <c r="F154" s="15"/>
      <c r="G154" s="127"/>
      <c r="H154" s="60"/>
      <c r="I154" s="22"/>
      <c r="J154" s="134"/>
      <c r="K154" s="134"/>
      <c r="L154" s="65"/>
      <c r="M154" s="127"/>
    </row>
    <row r="155" spans="2:13" ht="15.75">
      <c r="B155" s="19" t="s">
        <v>6</v>
      </c>
      <c r="C155" s="25">
        <f>-(C77/12)* C84^2 / 2</f>
        <v>-116640</v>
      </c>
      <c r="D155" s="24" t="s">
        <v>21</v>
      </c>
      <c r="E155" s="15"/>
      <c r="F155" s="15"/>
      <c r="G155" s="127"/>
      <c r="H155" s="135"/>
      <c r="I155" s="136"/>
      <c r="J155" s="137"/>
      <c r="K155" s="134"/>
      <c r="L155" s="65"/>
      <c r="M155" s="127"/>
    </row>
    <row r="156" spans="2:13">
      <c r="B156" s="63" t="s">
        <v>254</v>
      </c>
      <c r="C156" s="37" t="s">
        <v>128</v>
      </c>
      <c r="D156" s="15"/>
      <c r="E156" s="15"/>
      <c r="F156" s="15"/>
      <c r="G156" s="127"/>
      <c r="H156" s="60"/>
      <c r="I156" s="22"/>
      <c r="J156" s="134"/>
      <c r="K156" s="134"/>
      <c r="L156" s="65"/>
      <c r="M156" s="127"/>
    </row>
    <row r="157" spans="2:13">
      <c r="B157" s="21" t="s">
        <v>6</v>
      </c>
      <c r="C157" s="23">
        <f>-((C77/12)*C75^2/2)</f>
        <v>-36000</v>
      </c>
      <c r="D157" s="24" t="s">
        <v>21</v>
      </c>
      <c r="E157" s="15"/>
      <c r="F157" s="15"/>
      <c r="G157" s="127"/>
      <c r="H157" s="138"/>
      <c r="I157" s="139"/>
      <c r="J157" s="134"/>
      <c r="K157" s="134"/>
      <c r="L157" s="65"/>
      <c r="M157" s="127"/>
    </row>
    <row r="158" spans="2:13">
      <c r="G158" s="127"/>
      <c r="H158" s="60"/>
      <c r="I158" s="22"/>
      <c r="J158" s="134"/>
      <c r="K158" s="134"/>
      <c r="L158" s="65"/>
      <c r="M158" s="127"/>
    </row>
    <row r="159" spans="2:13">
      <c r="B159" s="58"/>
      <c r="C159" s="33"/>
      <c r="D159" s="28"/>
      <c r="E159" s="33"/>
      <c r="F159" s="15"/>
      <c r="G159" s="127"/>
      <c r="H159" s="60"/>
      <c r="I159" s="139"/>
      <c r="J159" s="134"/>
      <c r="K159" s="134"/>
      <c r="L159" s="65"/>
      <c r="M159" s="127"/>
    </row>
    <row r="160" spans="2:13">
      <c r="G160" s="127"/>
      <c r="H160" s="60"/>
      <c r="I160" s="140"/>
      <c r="J160" s="134"/>
      <c r="K160" s="134"/>
      <c r="L160" s="65"/>
      <c r="M160" s="127"/>
    </row>
    <row r="161" spans="2:13">
      <c r="B161" s="35" t="s">
        <v>318</v>
      </c>
      <c r="C161" s="32" t="s">
        <v>23</v>
      </c>
      <c r="D161" s="15"/>
      <c r="E161" s="15"/>
      <c r="F161" s="15"/>
      <c r="G161" s="127"/>
      <c r="H161" s="138"/>
      <c r="I161" s="140"/>
      <c r="J161" s="141"/>
      <c r="K161" s="134"/>
      <c r="L161" s="65"/>
      <c r="M161" s="127"/>
    </row>
    <row r="162" spans="2:13" ht="15.75">
      <c r="B162" s="21" t="s">
        <v>193</v>
      </c>
      <c r="C162" s="23" t="s">
        <v>165</v>
      </c>
      <c r="D162" s="15"/>
      <c r="E162" s="15"/>
      <c r="F162" s="15"/>
      <c r="G162" s="127"/>
      <c r="H162" s="60"/>
      <c r="I162" s="22"/>
      <c r="J162" s="134"/>
      <c r="K162" s="134"/>
      <c r="L162" s="65"/>
      <c r="M162" s="127"/>
    </row>
    <row r="163" spans="2:13">
      <c r="B163" s="56" t="s">
        <v>6</v>
      </c>
      <c r="C163" s="38">
        <f>((C77/12)/(24*C80*C79))*((3*C84^4 - 4*C84^3*C75 + C75^4))</f>
        <v>1.3874381833473509E-2</v>
      </c>
      <c r="D163" s="23" t="s">
        <v>20</v>
      </c>
      <c r="E163" s="15"/>
      <c r="F163" s="15"/>
      <c r="G163" s="127"/>
      <c r="H163" s="60"/>
      <c r="I163" s="139"/>
      <c r="J163" s="134"/>
      <c r="K163" s="134"/>
      <c r="L163" s="65"/>
      <c r="M163" s="127"/>
    </row>
    <row r="164" spans="2:13" ht="15.75">
      <c r="B164" s="21" t="s">
        <v>390</v>
      </c>
      <c r="C164" s="23" t="s">
        <v>166</v>
      </c>
      <c r="D164" s="15"/>
      <c r="E164" s="15"/>
      <c r="F164" s="15"/>
      <c r="G164" s="127"/>
      <c r="H164" s="60"/>
      <c r="I164" s="22"/>
      <c r="J164" s="134"/>
      <c r="K164" s="134"/>
      <c r="L164" s="65"/>
      <c r="M164" s="127"/>
    </row>
    <row r="165" spans="2:13">
      <c r="B165" s="39" t="s">
        <v>164</v>
      </c>
      <c r="C165" s="38">
        <f>((C77/12)*C84^4) / (8*C80*C79)</f>
        <v>4.7676232127838516E-2</v>
      </c>
      <c r="D165" s="23" t="s">
        <v>20</v>
      </c>
      <c r="E165" s="15"/>
      <c r="F165" s="15"/>
      <c r="G165" s="127"/>
      <c r="H165" s="60"/>
      <c r="I165" s="142"/>
      <c r="J165" s="134"/>
      <c r="K165" s="134"/>
      <c r="L165" s="65"/>
      <c r="M165" s="127"/>
    </row>
    <row r="166" spans="2:13">
      <c r="B166" s="21" t="s">
        <v>30</v>
      </c>
      <c r="C166" s="23" t="s">
        <v>205</v>
      </c>
      <c r="D166" s="15"/>
      <c r="G166" s="127"/>
      <c r="H166" s="143"/>
      <c r="I166" s="191"/>
      <c r="J166" s="141"/>
      <c r="K166" s="141"/>
      <c r="L166" s="65"/>
      <c r="M166" s="127"/>
    </row>
    <row r="167" spans="2:13" ht="13.5" thickBot="1">
      <c r="B167" s="21" t="s">
        <v>6</v>
      </c>
      <c r="C167" s="30">
        <f>C84/360</f>
        <v>0.6</v>
      </c>
      <c r="D167" s="27" t="s">
        <v>20</v>
      </c>
      <c r="G167" s="127"/>
      <c r="H167" s="144"/>
      <c r="I167" s="22"/>
      <c r="J167" s="134"/>
      <c r="K167" s="134"/>
      <c r="L167" s="65"/>
      <c r="M167" s="127"/>
    </row>
    <row r="168" spans="2:13">
      <c r="G168" s="127"/>
      <c r="H168" s="60"/>
      <c r="I168" s="140"/>
      <c r="J168" s="134"/>
      <c r="K168" s="134"/>
      <c r="L168" s="65"/>
      <c r="M168" s="127"/>
    </row>
    <row r="169" spans="2:13">
      <c r="B169" s="58"/>
      <c r="C169" s="33"/>
      <c r="D169" s="28"/>
      <c r="E169" s="33"/>
      <c r="F169" s="15"/>
      <c r="G169" s="127"/>
      <c r="H169" s="60"/>
      <c r="I169" s="140"/>
      <c r="J169" s="134"/>
      <c r="K169" s="134"/>
      <c r="L169" s="65"/>
      <c r="M169" s="127"/>
    </row>
    <row r="170" spans="2:13">
      <c r="B170" s="35" t="s">
        <v>318</v>
      </c>
      <c r="G170" s="127"/>
      <c r="H170" s="60"/>
      <c r="I170" s="22"/>
      <c r="J170" s="134"/>
      <c r="K170" s="134"/>
      <c r="L170" s="65"/>
      <c r="M170" s="127"/>
    </row>
    <row r="171" spans="2:13">
      <c r="B171" s="35" t="s">
        <v>71</v>
      </c>
      <c r="C171" s="32" t="s">
        <v>23</v>
      </c>
      <c r="D171" s="15"/>
      <c r="E171" s="15"/>
      <c r="F171" s="15"/>
      <c r="G171" s="127"/>
      <c r="H171" s="60"/>
      <c r="I171" s="139"/>
      <c r="J171" s="134"/>
      <c r="K171" s="134"/>
      <c r="L171" s="65"/>
      <c r="M171" s="127"/>
    </row>
    <row r="172" spans="2:13">
      <c r="B172" s="39" t="s">
        <v>185</v>
      </c>
      <c r="C172" s="23" t="s">
        <v>167</v>
      </c>
      <c r="D172" s="14"/>
      <c r="E172" s="42"/>
      <c r="F172" s="15"/>
      <c r="G172" s="127"/>
      <c r="H172" s="60"/>
      <c r="I172" s="22"/>
      <c r="J172" s="134"/>
      <c r="K172" s="134"/>
      <c r="L172" s="65"/>
      <c r="M172" s="127"/>
    </row>
    <row r="173" spans="2:13">
      <c r="B173" s="39" t="s">
        <v>6</v>
      </c>
      <c r="C173" s="23">
        <f>((C77/12)*C84^3) / (6*C80*C79)</f>
        <v>2.942977291841884E-4</v>
      </c>
      <c r="D173" s="23" t="s">
        <v>69</v>
      </c>
      <c r="E173" s="62">
        <f>C173*57.3</f>
        <v>1.6863259882253994E-2</v>
      </c>
      <c r="F173" t="s">
        <v>9</v>
      </c>
      <c r="G173" s="127"/>
      <c r="H173" s="60"/>
      <c r="I173" s="142"/>
      <c r="J173" s="145"/>
      <c r="K173" s="134"/>
      <c r="L173" s="65"/>
      <c r="M173" s="127"/>
    </row>
    <row r="174" spans="2:13">
      <c r="B174" s="39" t="s">
        <v>186</v>
      </c>
      <c r="C174" s="23">
        <v>0</v>
      </c>
      <c r="D174" s="14"/>
      <c r="E174" s="15"/>
      <c r="F174" s="15"/>
      <c r="G174" s="127"/>
      <c r="H174" s="143"/>
      <c r="I174" s="191"/>
      <c r="J174" s="141"/>
      <c r="K174" s="141"/>
      <c r="L174" s="65"/>
      <c r="M174" s="127"/>
    </row>
    <row r="175" spans="2:13">
      <c r="B175" s="39"/>
      <c r="C175" s="40"/>
      <c r="D175" s="14"/>
      <c r="E175" s="15"/>
      <c r="F175" s="15"/>
      <c r="G175" s="127"/>
      <c r="H175" s="129"/>
      <c r="I175" s="130"/>
      <c r="J175" s="65"/>
      <c r="K175" s="65"/>
      <c r="L175" s="65"/>
      <c r="M175" s="127"/>
    </row>
    <row r="176" spans="2:13">
      <c r="B176" s="58"/>
      <c r="C176" s="33"/>
      <c r="D176" s="28"/>
      <c r="E176" s="33"/>
      <c r="F176" s="15"/>
      <c r="G176" s="127"/>
      <c r="H176" s="128"/>
      <c r="I176" s="168"/>
      <c r="J176" s="127"/>
      <c r="K176" s="127"/>
      <c r="L176" s="127"/>
      <c r="M176" s="127"/>
    </row>
    <row r="177" spans="2:13">
      <c r="G177" s="127"/>
      <c r="H177" s="128"/>
      <c r="I177" s="168"/>
      <c r="J177" s="127"/>
      <c r="K177" s="127"/>
      <c r="L177" s="127"/>
      <c r="M177" s="127"/>
    </row>
    <row r="178" spans="2:13" ht="15.75">
      <c r="B178" s="103" t="s">
        <v>387</v>
      </c>
      <c r="C178" s="23"/>
      <c r="D178" s="15"/>
      <c r="E178" s="15"/>
      <c r="F178" s="15"/>
      <c r="G178" s="127"/>
      <c r="H178" s="128"/>
      <c r="I178" s="168"/>
      <c r="J178" s="127"/>
      <c r="K178" s="127"/>
      <c r="L178" s="127"/>
      <c r="M178" s="127"/>
    </row>
    <row r="179" spans="2:13">
      <c r="B179" s="35" t="s">
        <v>494</v>
      </c>
      <c r="E179" s="15"/>
      <c r="F179" s="15"/>
      <c r="G179" s="127"/>
      <c r="H179" s="128"/>
      <c r="I179" s="168"/>
      <c r="J179" s="127"/>
      <c r="K179" s="127"/>
      <c r="L179" s="127"/>
      <c r="M179" s="127"/>
    </row>
    <row r="180" spans="2:13" ht="16.5" thickBot="1">
      <c r="B180" s="63" t="s">
        <v>252</v>
      </c>
      <c r="C180" t="s">
        <v>152</v>
      </c>
      <c r="E180" s="15"/>
      <c r="F180" s="15"/>
      <c r="G180" s="127"/>
      <c r="H180" s="128"/>
      <c r="I180" s="168"/>
      <c r="J180" s="127"/>
      <c r="K180" s="127"/>
      <c r="L180" s="127"/>
      <c r="M180" s="127"/>
    </row>
    <row r="181" spans="2:13" ht="13.5" thickBot="1">
      <c r="C181" s="74">
        <f>C92+C157</f>
        <v>-636000</v>
      </c>
      <c r="D181" s="24" t="s">
        <v>21</v>
      </c>
      <c r="E181" s="123" t="str">
        <f>IF($C$75&lt;$C$73,"x &lt; a, Not OK","x &gt; a, OK")</f>
        <v>x &gt; a, OK</v>
      </c>
      <c r="F181" s="15"/>
      <c r="G181" s="257"/>
      <c r="H181" s="128"/>
      <c r="I181" s="168"/>
      <c r="J181" s="127"/>
      <c r="K181" s="127"/>
      <c r="L181" s="127"/>
      <c r="M181" s="127"/>
    </row>
    <row r="182" spans="2:13" ht="15.75">
      <c r="B182" s="21" t="s">
        <v>56</v>
      </c>
      <c r="C182" s="23" t="s">
        <v>255</v>
      </c>
      <c r="D182" s="15"/>
      <c r="F182" s="15"/>
      <c r="G182" s="127"/>
      <c r="H182" s="128"/>
      <c r="I182" s="168"/>
      <c r="J182" s="127"/>
      <c r="K182" s="127"/>
      <c r="L182" s="127"/>
      <c r="M182" s="127"/>
    </row>
    <row r="183" spans="2:13">
      <c r="B183" s="21" t="s">
        <v>6</v>
      </c>
      <c r="C183" s="25">
        <f>-C181/C78</f>
        <v>5888.8888888888887</v>
      </c>
      <c r="D183" s="15" t="s">
        <v>15</v>
      </c>
      <c r="G183" s="127"/>
      <c r="H183" s="128"/>
      <c r="I183" s="168"/>
      <c r="J183" s="127"/>
      <c r="K183" s="127"/>
      <c r="L183" s="127"/>
      <c r="M183" s="127"/>
    </row>
    <row r="184" spans="2:13">
      <c r="B184" s="21" t="s">
        <v>57</v>
      </c>
      <c r="C184" s="23" t="s">
        <v>58</v>
      </c>
      <c r="D184" s="24"/>
      <c r="G184" s="127"/>
      <c r="H184" s="128"/>
      <c r="I184" s="168"/>
      <c r="J184" s="127"/>
      <c r="K184" s="127"/>
      <c r="L184" s="127"/>
      <c r="M184" s="127"/>
    </row>
    <row r="185" spans="2:13">
      <c r="B185" s="21" t="s">
        <v>6</v>
      </c>
      <c r="C185" s="29">
        <f>$C$81/C183</f>
        <v>3.7358490566037736</v>
      </c>
      <c r="D185" s="45" t="str">
        <f>IF(C185&lt;2,"SFx &lt; 2.00, Not OK","SFx &gt; 2.00,  OK")</f>
        <v>SFx &gt; 2.00,  OK</v>
      </c>
      <c r="G185" s="127"/>
      <c r="H185" s="127"/>
      <c r="I185" s="168"/>
      <c r="J185" s="127"/>
      <c r="K185" s="127"/>
      <c r="L185" s="127"/>
      <c r="M185" s="127"/>
    </row>
    <row r="186" spans="2:13">
      <c r="G186" s="127"/>
      <c r="H186" s="127"/>
      <c r="I186" s="168"/>
      <c r="J186" s="127"/>
      <c r="K186" s="127"/>
      <c r="L186" s="127"/>
      <c r="M186" s="127"/>
    </row>
    <row r="187" spans="2:13" ht="15.75">
      <c r="B187" s="68" t="s">
        <v>392</v>
      </c>
      <c r="G187" s="127"/>
      <c r="H187" s="127"/>
      <c r="I187" s="168"/>
      <c r="J187" s="127"/>
      <c r="K187" s="127"/>
      <c r="L187" s="127"/>
      <c r="M187" s="127"/>
    </row>
    <row r="188" spans="2:13">
      <c r="G188" s="127"/>
      <c r="H188" s="127"/>
      <c r="I188" s="168"/>
      <c r="J188" s="127"/>
      <c r="K188" s="127"/>
      <c r="L188" s="127"/>
      <c r="M188" s="127"/>
    </row>
    <row r="189" spans="2:13">
      <c r="G189" s="127"/>
      <c r="H189" s="127"/>
      <c r="I189" s="168"/>
      <c r="J189" s="127"/>
      <c r="K189" s="127"/>
      <c r="L189" s="127"/>
      <c r="M189" s="127"/>
    </row>
    <row r="190" spans="2:13">
      <c r="G190" s="127"/>
      <c r="H190" s="127"/>
      <c r="I190" s="168"/>
      <c r="J190" s="127"/>
      <c r="K190" s="127"/>
      <c r="L190" s="127"/>
      <c r="M190" s="127"/>
    </row>
    <row r="191" spans="2:13">
      <c r="G191" s="127"/>
      <c r="H191" s="127"/>
      <c r="I191" s="168"/>
      <c r="J191" s="127"/>
      <c r="K191" s="127"/>
      <c r="L191" s="127"/>
      <c r="M191" s="127"/>
    </row>
    <row r="192" spans="2:13" ht="16.5" thickBot="1">
      <c r="B192" s="21" t="s">
        <v>301</v>
      </c>
      <c r="C192" s="23" t="s">
        <v>127</v>
      </c>
      <c r="D192" s="15"/>
      <c r="E192" s="15"/>
      <c r="F192" s="15"/>
      <c r="G192" s="127"/>
      <c r="H192" s="127"/>
      <c r="I192" s="168"/>
      <c r="J192" s="127"/>
      <c r="K192" s="127"/>
      <c r="L192" s="127"/>
      <c r="M192" s="127"/>
    </row>
    <row r="193" spans="2:13" ht="13.5" thickBot="1">
      <c r="B193" s="21" t="s">
        <v>6</v>
      </c>
      <c r="C193" s="30">
        <f>C102+C163</f>
        <v>0.26017659657975889</v>
      </c>
      <c r="D193" s="27" t="s">
        <v>20</v>
      </c>
      <c r="E193" s="123" t="str">
        <f>IF(C193&lt;C197,"x &gt; a, OK","x &gt; a Not OK")</f>
        <v>x &gt; a, OK</v>
      </c>
      <c r="F193" s="15"/>
      <c r="G193" s="127"/>
      <c r="H193" s="127"/>
      <c r="I193" s="168"/>
      <c r="J193" s="127"/>
      <c r="K193" s="127"/>
      <c r="L193" s="127"/>
      <c r="M193" s="127"/>
    </row>
    <row r="194" spans="2:13" ht="15.75">
      <c r="B194" s="21" t="s">
        <v>389</v>
      </c>
      <c r="C194" s="23" t="s">
        <v>391</v>
      </c>
      <c r="D194" s="15"/>
      <c r="E194" s="15"/>
      <c r="F194" s="15"/>
      <c r="G194" s="127"/>
      <c r="H194" s="127"/>
      <c r="I194" s="168"/>
      <c r="J194" s="127"/>
      <c r="K194" s="127"/>
      <c r="L194" s="127"/>
      <c r="M194" s="127"/>
    </row>
    <row r="195" spans="2:13" ht="13.5" thickBot="1">
      <c r="B195" s="63" t="s">
        <v>6</v>
      </c>
      <c r="C195" s="203">
        <f>C165+C100</f>
        <v>0.87732579758901041</v>
      </c>
      <c r="D195" s="204" t="s">
        <v>20</v>
      </c>
      <c r="E195" s="15"/>
      <c r="F195" s="15"/>
      <c r="G195" s="127"/>
      <c r="H195" s="128"/>
      <c r="I195" s="168"/>
      <c r="J195" s="127"/>
      <c r="K195" s="127"/>
      <c r="L195" s="127"/>
      <c r="M195" s="127"/>
    </row>
    <row r="196" spans="2:13">
      <c r="B196" s="21" t="s">
        <v>30</v>
      </c>
      <c r="C196" s="23" t="s">
        <v>66</v>
      </c>
      <c r="D196" s="15"/>
      <c r="E196" s="15"/>
      <c r="F196" s="15"/>
      <c r="G196" s="127"/>
      <c r="H196" s="128"/>
      <c r="I196" s="168"/>
      <c r="J196" s="127"/>
      <c r="K196" s="127"/>
      <c r="L196" s="127"/>
      <c r="M196" s="127"/>
    </row>
    <row r="197" spans="2:13" ht="13.5" thickBot="1">
      <c r="B197" s="21" t="s">
        <v>6</v>
      </c>
      <c r="C197" s="30">
        <f>C84/360</f>
        <v>0.6</v>
      </c>
      <c r="D197" s="27" t="s">
        <v>20</v>
      </c>
      <c r="F197" s="15"/>
      <c r="G197" s="127"/>
      <c r="H197" s="127"/>
      <c r="I197" s="168"/>
      <c r="J197" s="127"/>
      <c r="K197" s="127"/>
      <c r="L197" s="127"/>
      <c r="M197" s="127"/>
    </row>
    <row r="198" spans="2:13">
      <c r="F198" s="16"/>
      <c r="G198" s="127"/>
      <c r="H198" s="127"/>
      <c r="I198" s="168"/>
      <c r="J198" s="127"/>
      <c r="K198" s="127"/>
      <c r="L198" s="127"/>
      <c r="M198" s="127"/>
    </row>
    <row r="199" spans="2:13">
      <c r="B199" s="58"/>
      <c r="C199" s="33"/>
      <c r="D199" s="28"/>
      <c r="E199" s="33"/>
      <c r="G199" s="127"/>
      <c r="H199" s="127"/>
      <c r="I199" s="168"/>
      <c r="J199" s="127"/>
      <c r="K199" s="127"/>
      <c r="L199" s="127"/>
      <c r="M199" s="127"/>
    </row>
    <row r="200" spans="2:13">
      <c r="B200" s="57" t="s">
        <v>130</v>
      </c>
      <c r="C200" s="23"/>
      <c r="D200" s="15"/>
      <c r="G200" s="127"/>
      <c r="H200" s="127"/>
      <c r="I200" s="168"/>
      <c r="J200" s="127"/>
      <c r="K200" s="127"/>
      <c r="L200" s="127"/>
      <c r="M200" s="127"/>
    </row>
    <row r="201" spans="2:13" ht="15.75">
      <c r="B201" s="21" t="s">
        <v>302</v>
      </c>
      <c r="C201" s="23" t="s">
        <v>131</v>
      </c>
      <c r="D201" s="15"/>
      <c r="G201" s="127"/>
      <c r="H201" s="127"/>
      <c r="I201" s="168"/>
      <c r="J201" s="127"/>
      <c r="K201" s="127"/>
      <c r="L201" s="127"/>
      <c r="M201" s="127"/>
    </row>
    <row r="202" spans="2:13">
      <c r="C202" s="205">
        <f>C114+C173</f>
        <v>1.2556703111858704E-2</v>
      </c>
      <c r="D202" s="23" t="s">
        <v>69</v>
      </c>
      <c r="E202" s="97">
        <f>C202*57.3</f>
        <v>0.71949908830950371</v>
      </c>
      <c r="F202" t="s">
        <v>9</v>
      </c>
      <c r="G202" s="127"/>
      <c r="H202" s="127"/>
      <c r="I202" s="168"/>
      <c r="J202" s="127"/>
      <c r="K202" s="127"/>
      <c r="L202" s="127"/>
      <c r="M202" s="127"/>
    </row>
    <row r="203" spans="2:13">
      <c r="G203" s="127"/>
      <c r="H203" s="127"/>
      <c r="I203" s="168"/>
      <c r="J203" s="127"/>
      <c r="K203" s="127"/>
      <c r="L203" s="127"/>
      <c r="M203" s="127"/>
    </row>
    <row r="204" spans="2:13">
      <c r="B204" s="58"/>
      <c r="C204" s="33"/>
      <c r="D204" s="28"/>
      <c r="E204" s="33"/>
      <c r="G204" s="127"/>
      <c r="H204" s="127"/>
      <c r="I204" s="168"/>
      <c r="J204" s="127"/>
      <c r="K204" s="127"/>
      <c r="L204" s="127"/>
      <c r="M204" s="127"/>
    </row>
    <row r="205" spans="2:13">
      <c r="G205" s="127"/>
      <c r="H205" s="127"/>
      <c r="I205" s="168"/>
      <c r="J205" s="127"/>
      <c r="K205" s="127"/>
      <c r="L205" s="127"/>
      <c r="M205" s="127"/>
    </row>
    <row r="206" spans="2:13" ht="15.75">
      <c r="B206" s="103" t="s">
        <v>341</v>
      </c>
      <c r="C206" s="103"/>
      <c r="D206" s="127"/>
      <c r="E206" s="127"/>
      <c r="F206" s="127"/>
      <c r="G206" s="127"/>
      <c r="H206" s="127"/>
      <c r="I206" s="168"/>
      <c r="J206" s="127"/>
      <c r="K206" s="127"/>
      <c r="L206" s="127"/>
      <c r="M206" s="127"/>
    </row>
    <row r="207" spans="2:13">
      <c r="B207" s="127"/>
      <c r="C207" s="128"/>
      <c r="D207" s="127"/>
      <c r="E207" s="127"/>
      <c r="F207" s="127"/>
      <c r="G207" s="127"/>
      <c r="H207" s="127"/>
      <c r="I207" s="168"/>
      <c r="J207" s="127"/>
      <c r="K207" s="127"/>
      <c r="L207" s="127"/>
      <c r="M207" s="127"/>
    </row>
    <row r="208" spans="2:13">
      <c r="B208" s="127"/>
      <c r="C208" s="128"/>
      <c r="D208" s="127"/>
      <c r="E208" s="127"/>
      <c r="F208" s="127"/>
      <c r="G208" s="127"/>
      <c r="H208" s="127"/>
      <c r="I208" s="168"/>
      <c r="J208" s="127"/>
      <c r="K208" s="127"/>
      <c r="L208" s="127"/>
      <c r="M208" s="127"/>
    </row>
    <row r="209" spans="2:13">
      <c r="B209" s="127"/>
      <c r="C209" s="63"/>
      <c r="F209" s="127"/>
      <c r="G209" s="127"/>
      <c r="H209" s="127"/>
      <c r="I209" s="168"/>
      <c r="J209" s="127"/>
      <c r="K209" s="127"/>
      <c r="L209" s="127"/>
      <c r="M209" s="127"/>
    </row>
    <row r="210" spans="2:13">
      <c r="B210" s="127"/>
      <c r="C210" s="63"/>
      <c r="F210" s="127"/>
      <c r="G210" s="127"/>
      <c r="H210" s="127"/>
      <c r="I210" s="168"/>
      <c r="J210" s="127"/>
      <c r="K210" s="127"/>
      <c r="L210" s="127"/>
      <c r="M210" s="127"/>
    </row>
    <row r="211" spans="2:13">
      <c r="B211" s="127"/>
      <c r="C211" s="63"/>
      <c r="F211" s="127"/>
      <c r="G211" s="127"/>
      <c r="H211" s="127"/>
      <c r="I211" s="168"/>
      <c r="J211" s="127"/>
      <c r="K211" s="127"/>
      <c r="L211" s="127"/>
      <c r="M211" s="127"/>
    </row>
    <row r="212" spans="2:13">
      <c r="B212" s="127"/>
      <c r="C212" s="63"/>
      <c r="F212" s="127"/>
      <c r="G212" s="127"/>
      <c r="H212" s="127"/>
      <c r="I212" s="168"/>
      <c r="J212" s="127"/>
      <c r="K212" s="127"/>
      <c r="L212" s="127"/>
      <c r="M212" s="127"/>
    </row>
    <row r="213" spans="2:13">
      <c r="B213" s="127"/>
      <c r="C213" s="63"/>
      <c r="F213" s="127"/>
      <c r="G213" s="127"/>
      <c r="H213" s="127"/>
      <c r="I213" s="168"/>
      <c r="J213" s="127"/>
      <c r="K213" s="127"/>
      <c r="L213" s="127"/>
      <c r="M213" s="127"/>
    </row>
    <row r="214" spans="2:13">
      <c r="B214" s="127"/>
      <c r="C214" s="63"/>
      <c r="F214" s="127"/>
      <c r="G214" s="127"/>
      <c r="H214" s="127"/>
      <c r="I214" s="168"/>
      <c r="J214" s="127"/>
      <c r="K214" s="127"/>
      <c r="L214" s="127"/>
      <c r="M214" s="127"/>
    </row>
    <row r="215" spans="2:13">
      <c r="B215" s="127"/>
      <c r="C215" s="63"/>
      <c r="F215" s="127"/>
      <c r="G215" s="127"/>
      <c r="H215" s="127"/>
      <c r="I215" s="168"/>
      <c r="J215" s="127"/>
      <c r="K215" s="127"/>
      <c r="L215" s="127"/>
      <c r="M215" s="127"/>
    </row>
    <row r="216" spans="2:13">
      <c r="B216" s="127"/>
      <c r="C216" s="63"/>
      <c r="F216" s="127"/>
      <c r="G216" s="127"/>
      <c r="H216" s="127"/>
      <c r="I216" s="168"/>
      <c r="J216" s="127"/>
      <c r="K216" s="127"/>
      <c r="L216" s="127"/>
      <c r="M216" s="127"/>
    </row>
    <row r="217" spans="2:13">
      <c r="B217" s="127"/>
      <c r="C217" s="63"/>
      <c r="F217" s="127"/>
      <c r="G217" s="127"/>
      <c r="H217" s="127"/>
      <c r="I217" s="168"/>
      <c r="J217" s="127"/>
      <c r="K217" s="127"/>
      <c r="L217" s="127"/>
      <c r="M217" s="127"/>
    </row>
    <row r="218" spans="2:13">
      <c r="B218" s="127"/>
      <c r="C218" s="63"/>
      <c r="F218" s="127"/>
      <c r="G218" s="127"/>
      <c r="H218" s="127"/>
      <c r="I218" s="168"/>
      <c r="J218" s="127"/>
      <c r="K218" s="127"/>
      <c r="L218" s="127"/>
      <c r="M218" s="127"/>
    </row>
    <row r="219" spans="2:13">
      <c r="B219" s="127"/>
      <c r="C219" s="63"/>
      <c r="F219" s="127"/>
      <c r="G219" s="127"/>
      <c r="H219" s="127"/>
      <c r="I219" s="168"/>
      <c r="J219" s="127"/>
      <c r="K219" s="127"/>
      <c r="L219" s="127"/>
      <c r="M219" s="127"/>
    </row>
    <row r="220" spans="2:13">
      <c r="B220" s="127"/>
      <c r="C220" s="63"/>
      <c r="F220" s="127"/>
      <c r="G220" s="127"/>
      <c r="H220" s="127"/>
      <c r="I220" s="168"/>
      <c r="J220" s="127"/>
      <c r="K220" s="127"/>
      <c r="L220" s="127"/>
      <c r="M220" s="127"/>
    </row>
    <row r="221" spans="2:13">
      <c r="B221" s="127"/>
      <c r="C221" s="63"/>
      <c r="F221" s="127"/>
      <c r="G221" s="127"/>
      <c r="H221" s="127"/>
      <c r="I221" s="168"/>
      <c r="J221" s="127"/>
      <c r="K221" s="127"/>
      <c r="L221" s="127"/>
      <c r="M221" s="127"/>
    </row>
    <row r="222" spans="2:13">
      <c r="B222" s="127"/>
      <c r="C222" s="128"/>
      <c r="D222" s="127"/>
      <c r="E222" s="127"/>
      <c r="F222" s="127"/>
      <c r="G222" s="127"/>
      <c r="H222" s="127"/>
      <c r="I222" s="168"/>
      <c r="J222" s="127"/>
      <c r="K222" s="127"/>
      <c r="L222" s="127"/>
      <c r="M222" s="127"/>
    </row>
    <row r="223" spans="2:13" ht="13.5" thickBot="1">
      <c r="B223" s="127"/>
      <c r="C223" s="128"/>
      <c r="D223" s="127"/>
      <c r="E223" s="127"/>
      <c r="F223" s="127"/>
      <c r="G223" s="127"/>
      <c r="H223" s="127"/>
      <c r="I223" s="168"/>
      <c r="J223" s="127"/>
      <c r="K223" s="127"/>
      <c r="L223" s="127"/>
      <c r="M223" s="127"/>
    </row>
    <row r="224" spans="2:13">
      <c r="B224" s="127"/>
      <c r="C224" s="21" t="s">
        <v>32</v>
      </c>
      <c r="D224" s="321">
        <v>15000</v>
      </c>
      <c r="E224" s="15" t="s">
        <v>16</v>
      </c>
      <c r="F224" s="127"/>
      <c r="G224" s="127"/>
      <c r="H224" s="127"/>
      <c r="I224" s="168"/>
      <c r="J224" s="127"/>
      <c r="K224" s="127"/>
      <c r="L224" s="127"/>
      <c r="M224" s="127"/>
    </row>
    <row r="225" spans="2:13">
      <c r="B225" s="127"/>
      <c r="C225" s="21" t="s">
        <v>60</v>
      </c>
      <c r="D225" s="322">
        <v>0</v>
      </c>
      <c r="E225" s="15" t="s">
        <v>20</v>
      </c>
      <c r="F225" s="127"/>
      <c r="G225" s="127"/>
      <c r="H225" s="127"/>
      <c r="I225" s="168"/>
      <c r="J225" s="127"/>
      <c r="K225" s="127"/>
      <c r="L225" s="127"/>
      <c r="M225" s="127"/>
    </row>
    <row r="226" spans="2:13">
      <c r="B226" s="127"/>
      <c r="C226" s="21" t="s">
        <v>160</v>
      </c>
      <c r="D226" s="322">
        <v>18</v>
      </c>
      <c r="E226" s="15" t="s">
        <v>17</v>
      </c>
      <c r="F226" s="127"/>
      <c r="G226" s="127"/>
      <c r="H226" s="127"/>
      <c r="I226" s="168"/>
      <c r="J226" s="127"/>
      <c r="K226" s="127"/>
      <c r="L226" s="127"/>
      <c r="M226" s="127"/>
    </row>
    <row r="227" spans="2:13">
      <c r="B227" s="127"/>
      <c r="C227" s="21" t="s">
        <v>40</v>
      </c>
      <c r="D227" s="322">
        <v>0</v>
      </c>
      <c r="E227" s="15" t="s">
        <v>29</v>
      </c>
      <c r="F227" s="127"/>
      <c r="G227" s="127"/>
      <c r="H227" s="127"/>
      <c r="I227" s="168"/>
      <c r="J227" s="127"/>
      <c r="K227" s="127"/>
      <c r="L227" s="127"/>
      <c r="M227" s="127"/>
    </row>
    <row r="228" spans="2:13">
      <c r="B228" s="127"/>
      <c r="C228" s="21" t="s">
        <v>216</v>
      </c>
      <c r="D228" s="322" t="s">
        <v>340</v>
      </c>
      <c r="E228" s="15" t="s">
        <v>22</v>
      </c>
      <c r="F228" s="127"/>
      <c r="G228" s="127"/>
      <c r="H228" s="127"/>
      <c r="I228" s="168"/>
      <c r="J228" s="127"/>
      <c r="K228" s="127"/>
      <c r="L228" s="127"/>
      <c r="M228" s="127"/>
    </row>
    <row r="229" spans="2:13">
      <c r="B229" s="127"/>
      <c r="C229" s="21" t="s">
        <v>31</v>
      </c>
      <c r="D229" s="322">
        <v>40</v>
      </c>
      <c r="E229" s="15" t="s">
        <v>55</v>
      </c>
      <c r="F229" s="127"/>
      <c r="G229" s="127"/>
      <c r="H229" s="127"/>
      <c r="I229" s="168"/>
      <c r="J229" s="127"/>
      <c r="K229" s="127"/>
      <c r="L229" s="127"/>
      <c r="M229" s="127"/>
    </row>
    <row r="230" spans="2:13">
      <c r="B230" s="127"/>
      <c r="C230" s="21" t="s">
        <v>12</v>
      </c>
      <c r="D230" s="322">
        <v>51.5</v>
      </c>
      <c r="E230" s="24" t="s">
        <v>13</v>
      </c>
      <c r="F230" s="127"/>
      <c r="G230" s="127"/>
      <c r="H230" s="127"/>
      <c r="I230" s="168"/>
      <c r="J230" s="127"/>
      <c r="K230" s="127"/>
      <c r="L230" s="127"/>
      <c r="M230" s="127"/>
    </row>
    <row r="231" spans="2:13">
      <c r="B231" s="127"/>
      <c r="C231" s="21" t="s">
        <v>296</v>
      </c>
      <c r="D231" s="322">
        <v>307</v>
      </c>
      <c r="E231" s="15" t="s">
        <v>27</v>
      </c>
      <c r="F231" s="127"/>
      <c r="G231" s="127"/>
      <c r="H231" s="127"/>
      <c r="I231" s="168"/>
      <c r="J231" s="127"/>
      <c r="K231" s="127"/>
      <c r="L231" s="127"/>
      <c r="M231" s="127"/>
    </row>
    <row r="232" spans="2:13">
      <c r="B232" s="127"/>
      <c r="C232" s="21" t="s">
        <v>28</v>
      </c>
      <c r="D232" s="322">
        <v>29000000</v>
      </c>
      <c r="E232" s="15" t="s">
        <v>15</v>
      </c>
      <c r="F232" s="127"/>
      <c r="G232" s="127"/>
      <c r="H232" s="127"/>
      <c r="I232" s="168"/>
      <c r="J232" s="127"/>
      <c r="K232" s="127"/>
      <c r="L232" s="127"/>
      <c r="M232" s="127"/>
    </row>
    <row r="233" spans="2:13" ht="13.5" thickBot="1">
      <c r="B233" s="127"/>
      <c r="C233" s="21" t="s">
        <v>303</v>
      </c>
      <c r="D233" s="323">
        <v>22000</v>
      </c>
      <c r="E233" s="15" t="s">
        <v>15</v>
      </c>
      <c r="F233" s="127"/>
      <c r="G233" s="127"/>
      <c r="H233" s="127"/>
      <c r="I233" s="168"/>
      <c r="J233" s="127"/>
      <c r="K233" s="127"/>
      <c r="L233" s="127"/>
      <c r="M233" s="127"/>
    </row>
    <row r="234" spans="2:13">
      <c r="B234" s="127"/>
      <c r="C234" s="63"/>
      <c r="F234" s="127"/>
      <c r="G234" s="127"/>
      <c r="H234" s="127"/>
      <c r="I234" s="168"/>
      <c r="J234" s="127"/>
      <c r="K234" s="127"/>
      <c r="L234" s="127"/>
      <c r="M234" s="127"/>
    </row>
    <row r="235" spans="2:13">
      <c r="B235" s="127"/>
      <c r="C235" s="63"/>
      <c r="F235" s="127"/>
      <c r="G235" s="127"/>
      <c r="H235" s="127"/>
      <c r="I235" s="168"/>
      <c r="J235" s="127"/>
      <c r="K235" s="127"/>
      <c r="L235" s="127"/>
      <c r="M235" s="127"/>
    </row>
    <row r="236" spans="2:13">
      <c r="B236" s="127"/>
      <c r="C236" s="63"/>
      <c r="G236" s="127"/>
      <c r="H236" s="127"/>
      <c r="I236" s="168"/>
      <c r="J236" s="127"/>
      <c r="K236" s="127"/>
      <c r="L236" s="127"/>
      <c r="M236" s="127"/>
    </row>
    <row r="237" spans="2:13">
      <c r="B237" s="127"/>
      <c r="C237" s="63"/>
      <c r="G237" s="127"/>
      <c r="H237" s="127"/>
      <c r="I237" s="168"/>
      <c r="J237" s="127"/>
      <c r="K237" s="127"/>
      <c r="L237" s="127"/>
      <c r="M237" s="127"/>
    </row>
    <row r="238" spans="2:13">
      <c r="G238" s="127"/>
      <c r="H238" s="127"/>
      <c r="I238" s="168"/>
      <c r="J238" s="127"/>
      <c r="K238" s="127"/>
      <c r="L238" s="127"/>
      <c r="M238" s="127"/>
    </row>
    <row r="239" spans="2:13">
      <c r="B239" s="127"/>
      <c r="C239" s="63"/>
      <c r="G239" s="127"/>
      <c r="H239" s="127"/>
      <c r="I239" s="168"/>
      <c r="J239" s="127"/>
      <c r="K239" s="127"/>
      <c r="L239" s="127"/>
      <c r="M239" s="127"/>
    </row>
    <row r="240" spans="2:13">
      <c r="B240" s="127"/>
      <c r="C240" s="63"/>
      <c r="G240" s="127"/>
      <c r="H240" s="127"/>
      <c r="I240" s="168"/>
      <c r="J240" s="127"/>
      <c r="K240" s="127"/>
      <c r="L240" s="127"/>
      <c r="M240" s="127"/>
    </row>
    <row r="241" spans="2:13">
      <c r="B241" s="127"/>
      <c r="C241" s="63"/>
      <c r="G241" s="127"/>
      <c r="H241" s="127"/>
      <c r="I241" s="168"/>
      <c r="J241" s="127"/>
      <c r="K241" s="127"/>
      <c r="L241" s="127"/>
      <c r="M241" s="127"/>
    </row>
    <row r="242" spans="2:13">
      <c r="B242" s="127"/>
      <c r="C242" s="63"/>
      <c r="G242" s="127"/>
      <c r="H242" s="127"/>
      <c r="I242" s="168"/>
      <c r="J242" s="127"/>
      <c r="K242" s="127"/>
      <c r="L242" s="127"/>
      <c r="M242" s="127"/>
    </row>
    <row r="243" spans="2:13">
      <c r="B243" s="127"/>
      <c r="C243" s="63"/>
      <c r="G243" s="127"/>
      <c r="H243" s="127"/>
      <c r="I243" s="168"/>
      <c r="J243" s="127"/>
      <c r="K243" s="127"/>
      <c r="L243" s="127"/>
      <c r="M243" s="127"/>
    </row>
    <row r="244" spans="2:13">
      <c r="B244" s="127"/>
      <c r="C244" s="63"/>
      <c r="G244" s="127"/>
      <c r="H244" s="127"/>
      <c r="I244" s="168"/>
      <c r="J244" s="127"/>
      <c r="K244" s="127"/>
      <c r="L244" s="127"/>
      <c r="M244" s="127"/>
    </row>
    <row r="245" spans="2:13">
      <c r="B245" s="127"/>
      <c r="C245" s="63"/>
      <c r="G245" s="127"/>
      <c r="H245" s="127"/>
      <c r="I245" s="168"/>
      <c r="J245" s="127"/>
      <c r="K245" s="127"/>
      <c r="L245" s="127"/>
      <c r="M245" s="127"/>
    </row>
    <row r="246" spans="2:13">
      <c r="B246" s="127"/>
      <c r="C246" s="63"/>
      <c r="G246" s="127"/>
      <c r="H246" s="127"/>
      <c r="I246" s="168"/>
      <c r="J246" s="127"/>
      <c r="K246" s="127"/>
      <c r="L246" s="127"/>
      <c r="M246" s="127"/>
    </row>
    <row r="247" spans="2:13">
      <c r="B247" s="127"/>
      <c r="C247" s="63"/>
      <c r="G247" s="127"/>
      <c r="H247" s="127"/>
      <c r="I247" s="168"/>
      <c r="J247" s="127"/>
      <c r="K247" s="127"/>
      <c r="L247" s="127"/>
      <c r="M247" s="127"/>
    </row>
    <row r="248" spans="2:13">
      <c r="B248" s="127"/>
      <c r="C248" s="63"/>
      <c r="G248" s="127"/>
      <c r="H248" s="127"/>
      <c r="I248" s="168"/>
      <c r="J248" s="127"/>
      <c r="K248" s="127"/>
      <c r="L248" s="127"/>
      <c r="M248" s="127"/>
    </row>
    <row r="249" spans="2:13">
      <c r="B249" s="127"/>
      <c r="C249" s="63"/>
      <c r="G249" s="127"/>
      <c r="H249" s="127"/>
      <c r="I249" s="168"/>
      <c r="J249" s="127"/>
      <c r="K249" s="127"/>
      <c r="L249" s="127"/>
      <c r="M249" s="127"/>
    </row>
    <row r="250" spans="2:13">
      <c r="B250" s="127"/>
      <c r="C250" s="63"/>
      <c r="G250" s="127"/>
      <c r="H250" s="127"/>
      <c r="I250" s="168"/>
      <c r="J250" s="127"/>
      <c r="K250" s="127"/>
      <c r="L250" s="127"/>
      <c r="M250" s="127"/>
    </row>
    <row r="251" spans="2:13">
      <c r="B251" s="127"/>
      <c r="C251" s="63"/>
      <c r="G251" s="127"/>
      <c r="H251" s="127"/>
      <c r="I251" s="168"/>
      <c r="J251" s="127"/>
      <c r="K251" s="127"/>
      <c r="L251" s="127"/>
      <c r="M251" s="127"/>
    </row>
    <row r="252" spans="2:13">
      <c r="B252" s="127"/>
      <c r="C252" s="63"/>
      <c r="G252" s="127"/>
      <c r="H252" s="127"/>
      <c r="I252" s="168"/>
      <c r="J252" s="127"/>
      <c r="K252" s="127"/>
      <c r="L252" s="127"/>
      <c r="M252" s="127"/>
    </row>
    <row r="253" spans="2:13">
      <c r="B253" s="127"/>
      <c r="C253" s="63"/>
      <c r="G253" s="127"/>
      <c r="H253" s="127"/>
      <c r="I253" s="168"/>
      <c r="J253" s="127"/>
      <c r="K253" s="127"/>
      <c r="L253" s="127"/>
      <c r="M253" s="127"/>
    </row>
    <row r="254" spans="2:13">
      <c r="B254" s="127"/>
      <c r="C254" s="63"/>
      <c r="G254" s="127"/>
      <c r="H254" s="127"/>
      <c r="I254" s="168"/>
      <c r="J254" s="127"/>
      <c r="K254" s="127"/>
      <c r="L254" s="127"/>
      <c r="M254" s="127"/>
    </row>
    <row r="255" spans="2:13">
      <c r="B255" s="127"/>
      <c r="C255" s="63"/>
      <c r="G255" s="127"/>
      <c r="H255" s="127"/>
      <c r="I255" s="168"/>
      <c r="J255" s="127"/>
      <c r="K255" s="127"/>
      <c r="L255" s="127"/>
      <c r="M255" s="127"/>
    </row>
    <row r="256" spans="2:13">
      <c r="B256" s="127"/>
      <c r="C256" s="63"/>
      <c r="G256" s="127"/>
      <c r="H256" s="127"/>
      <c r="I256" s="168"/>
      <c r="J256" s="127"/>
      <c r="K256" s="127"/>
      <c r="L256" s="127"/>
      <c r="M256" s="127"/>
    </row>
    <row r="257" spans="1:13">
      <c r="B257" s="127"/>
      <c r="C257" s="63"/>
      <c r="G257" s="127"/>
      <c r="H257" s="127"/>
      <c r="I257" s="168"/>
      <c r="J257" s="127"/>
      <c r="K257" s="127"/>
      <c r="L257" s="127"/>
      <c r="M257" s="127"/>
    </row>
    <row r="258" spans="1:13">
      <c r="B258" s="127"/>
      <c r="C258" s="63"/>
      <c r="G258" s="127"/>
      <c r="H258" s="127"/>
      <c r="I258" s="168"/>
      <c r="J258" s="127"/>
      <c r="K258" s="127"/>
      <c r="L258" s="127"/>
      <c r="M258" s="127"/>
    </row>
    <row r="259" spans="1:13">
      <c r="B259" s="127"/>
      <c r="C259" s="63"/>
      <c r="G259" s="127"/>
      <c r="H259" s="127"/>
      <c r="I259" s="168"/>
      <c r="J259" s="127"/>
      <c r="K259" s="127"/>
      <c r="L259" s="127"/>
      <c r="M259" s="127"/>
    </row>
    <row r="260" spans="1:13" ht="13.5" thickBot="1">
      <c r="A260" s="127"/>
      <c r="B260" s="35" t="s">
        <v>317</v>
      </c>
      <c r="C260" s="32" t="s">
        <v>10</v>
      </c>
      <c r="D260" s="20"/>
      <c r="G260" s="127"/>
      <c r="H260" s="127"/>
      <c r="I260" s="168"/>
      <c r="J260" s="127"/>
      <c r="K260" s="127"/>
      <c r="L260" s="127"/>
      <c r="M260" s="127"/>
    </row>
    <row r="261" spans="1:13" ht="13.5" thickBot="1">
      <c r="A261" s="127"/>
      <c r="B261" s="21" t="s">
        <v>32</v>
      </c>
      <c r="C261" s="52">
        <v>600</v>
      </c>
      <c r="D261" s="15" t="s">
        <v>16</v>
      </c>
      <c r="E261" s="17" t="s">
        <v>42</v>
      </c>
      <c r="F261" s="183">
        <v>10</v>
      </c>
      <c r="G261" s="127"/>
      <c r="H261" s="127"/>
      <c r="I261" s="168"/>
      <c r="J261" s="127"/>
      <c r="K261" s="127"/>
      <c r="L261" s="127"/>
      <c r="M261" s="127"/>
    </row>
    <row r="262" spans="1:13" ht="13.5" thickBot="1">
      <c r="A262" s="127"/>
      <c r="B262" s="21" t="s">
        <v>60</v>
      </c>
      <c r="C262" s="53">
        <v>100</v>
      </c>
      <c r="D262" s="15" t="s">
        <v>20</v>
      </c>
      <c r="E262" s="71" t="s">
        <v>43</v>
      </c>
      <c r="F262" s="18" t="s">
        <v>44</v>
      </c>
      <c r="G262" s="127"/>
      <c r="H262" s="127"/>
      <c r="I262" s="168"/>
      <c r="J262" s="127"/>
      <c r="K262" s="127"/>
      <c r="L262" s="127"/>
      <c r="M262" s="127"/>
    </row>
    <row r="263" spans="1:13" ht="13.5" thickBot="1">
      <c r="A263" s="127"/>
      <c r="B263" s="21" t="s">
        <v>160</v>
      </c>
      <c r="C263" s="53">
        <v>18</v>
      </c>
      <c r="D263" s="15" t="s">
        <v>17</v>
      </c>
      <c r="E263" s="70" t="s">
        <v>6</v>
      </c>
      <c r="F263" s="18">
        <f>F261*12</f>
        <v>120</v>
      </c>
      <c r="G263" s="127"/>
      <c r="H263" s="127"/>
      <c r="I263" s="168"/>
      <c r="J263" s="127"/>
      <c r="K263" s="127"/>
      <c r="L263" s="127"/>
      <c r="M263" s="127"/>
    </row>
    <row r="264" spans="1:13">
      <c r="A264" s="127"/>
      <c r="B264" s="21" t="s">
        <v>40</v>
      </c>
      <c r="C264" s="53">
        <v>50</v>
      </c>
      <c r="D264" s="15" t="s">
        <v>29</v>
      </c>
      <c r="E264" s="15"/>
      <c r="G264" s="127"/>
      <c r="H264" s="127"/>
      <c r="I264" s="168"/>
      <c r="J264" s="127"/>
      <c r="K264" s="127"/>
      <c r="L264" s="127"/>
      <c r="M264" s="127"/>
    </row>
    <row r="265" spans="1:13">
      <c r="A265" s="127"/>
      <c r="B265" s="21" t="s">
        <v>216</v>
      </c>
      <c r="C265" s="53" t="s">
        <v>340</v>
      </c>
      <c r="D265" s="15" t="s">
        <v>22</v>
      </c>
      <c r="E265" s="15"/>
      <c r="F265" s="15"/>
      <c r="G265" s="127"/>
      <c r="H265" s="127"/>
      <c r="I265" s="168"/>
      <c r="J265" s="127"/>
      <c r="K265" s="127"/>
      <c r="L265" s="127"/>
      <c r="M265" s="127"/>
    </row>
    <row r="266" spans="1:13">
      <c r="A266" s="127"/>
      <c r="B266" s="21" t="s">
        <v>31</v>
      </c>
      <c r="C266" s="53">
        <v>40</v>
      </c>
      <c r="D266" s="15" t="s">
        <v>55</v>
      </c>
      <c r="E266" s="15"/>
      <c r="F266" s="15"/>
      <c r="G266" s="127"/>
      <c r="H266" s="127"/>
      <c r="I266" s="168"/>
      <c r="J266" s="127"/>
      <c r="K266" s="127"/>
      <c r="L266" s="127"/>
      <c r="M266" s="127"/>
    </row>
    <row r="267" spans="1:13">
      <c r="A267" s="127"/>
      <c r="B267" s="21" t="s">
        <v>12</v>
      </c>
      <c r="C267" s="53">
        <v>51.5</v>
      </c>
      <c r="D267" s="24" t="s">
        <v>13</v>
      </c>
      <c r="E267" s="15"/>
      <c r="F267" s="15"/>
      <c r="G267" s="127"/>
      <c r="H267" s="127"/>
      <c r="I267" s="168"/>
      <c r="J267" s="127"/>
      <c r="K267" s="127"/>
      <c r="L267" s="127"/>
      <c r="M267" s="127"/>
    </row>
    <row r="268" spans="1:13">
      <c r="A268" s="127"/>
      <c r="B268" s="21" t="s">
        <v>296</v>
      </c>
      <c r="C268" s="53">
        <v>307</v>
      </c>
      <c r="D268" s="15" t="s">
        <v>27</v>
      </c>
      <c r="E268" s="15"/>
      <c r="F268" s="15"/>
      <c r="G268" s="127"/>
      <c r="H268" s="127"/>
      <c r="I268" s="168"/>
      <c r="J268" s="127"/>
      <c r="K268" s="127"/>
      <c r="L268" s="127"/>
      <c r="M268" s="127"/>
    </row>
    <row r="269" spans="1:13">
      <c r="A269" s="127"/>
      <c r="B269" s="21" t="s">
        <v>28</v>
      </c>
      <c r="C269" s="53">
        <v>29000000</v>
      </c>
      <c r="D269" s="15" t="s">
        <v>15</v>
      </c>
      <c r="E269" s="15"/>
      <c r="F269" s="15"/>
      <c r="G269" s="127"/>
      <c r="H269" s="127"/>
      <c r="I269" s="168"/>
      <c r="J269" s="127"/>
      <c r="K269" s="127"/>
      <c r="L269" s="127"/>
      <c r="M269" s="127"/>
    </row>
    <row r="270" spans="1:13" ht="13.5" thickBot="1">
      <c r="A270" s="127"/>
      <c r="B270" s="21" t="s">
        <v>303</v>
      </c>
      <c r="C270" s="54">
        <v>22000</v>
      </c>
      <c r="D270" s="15" t="s">
        <v>15</v>
      </c>
      <c r="E270" s="15"/>
      <c r="F270" s="15"/>
      <c r="G270" s="127"/>
      <c r="H270" s="127"/>
      <c r="I270" s="168"/>
      <c r="J270" s="127"/>
      <c r="K270" s="127"/>
      <c r="L270" s="127"/>
      <c r="M270" s="127"/>
    </row>
    <row r="271" spans="1:13">
      <c r="A271" s="127"/>
      <c r="B271" s="21"/>
      <c r="C271" s="32" t="s">
        <v>114</v>
      </c>
      <c r="D271" s="16"/>
      <c r="E271" s="16"/>
      <c r="F271" s="16"/>
      <c r="G271" s="127"/>
      <c r="H271" s="127"/>
      <c r="I271" s="168"/>
      <c r="J271" s="127"/>
      <c r="K271" s="127"/>
      <c r="L271" s="127"/>
      <c r="M271" s="127"/>
    </row>
    <row r="272" spans="1:13">
      <c r="A272" s="127"/>
      <c r="B272" s="21" t="s">
        <v>161</v>
      </c>
      <c r="C272" s="23" t="s">
        <v>162</v>
      </c>
      <c r="D272" s="15"/>
      <c r="E272" s="15"/>
      <c r="F272" s="15"/>
      <c r="G272" s="127"/>
      <c r="H272" s="127"/>
      <c r="I272" s="168"/>
      <c r="J272" s="127"/>
      <c r="K272" s="127"/>
      <c r="L272" s="127"/>
      <c r="M272" s="127"/>
    </row>
    <row r="273" spans="1:13">
      <c r="A273" s="127"/>
      <c r="B273" s="19" t="s">
        <v>6</v>
      </c>
      <c r="C273" s="25">
        <f>12*C263</f>
        <v>216</v>
      </c>
      <c r="D273" s="15" t="s">
        <v>20</v>
      </c>
      <c r="E273" s="15"/>
      <c r="F273" s="15"/>
      <c r="G273" s="127"/>
      <c r="H273" s="127"/>
      <c r="I273" s="168"/>
      <c r="J273" s="127"/>
      <c r="K273" s="127"/>
      <c r="L273" s="127"/>
      <c r="M273" s="127"/>
    </row>
    <row r="274" spans="1:13">
      <c r="A274" s="127"/>
      <c r="B274" s="21" t="s">
        <v>120</v>
      </c>
      <c r="C274" s="23" t="s">
        <v>137</v>
      </c>
      <c r="D274" s="15"/>
      <c r="F274" s="15"/>
      <c r="G274" s="127"/>
      <c r="H274" s="127"/>
      <c r="I274" s="168"/>
      <c r="J274" s="127"/>
      <c r="K274" s="127"/>
      <c r="L274" s="127"/>
      <c r="M274" s="127"/>
    </row>
    <row r="275" spans="1:13">
      <c r="A275" s="127"/>
      <c r="B275" s="19" t="s">
        <v>6</v>
      </c>
      <c r="C275" s="25">
        <f>C261</f>
        <v>600</v>
      </c>
      <c r="D275" s="15" t="s">
        <v>16</v>
      </c>
      <c r="F275" s="15"/>
      <c r="G275" s="127"/>
      <c r="H275" s="127"/>
      <c r="I275" s="168"/>
      <c r="J275" s="127"/>
      <c r="K275" s="127"/>
      <c r="L275" s="127"/>
      <c r="M275" s="127"/>
    </row>
    <row r="276" spans="1:13">
      <c r="A276" s="127"/>
      <c r="B276" s="21" t="s">
        <v>125</v>
      </c>
      <c r="C276" s="37" t="s">
        <v>138</v>
      </c>
      <c r="D276" s="15"/>
      <c r="E276" s="15"/>
      <c r="F276" s="15"/>
      <c r="G276" s="127"/>
      <c r="H276" s="127"/>
      <c r="I276" s="168"/>
      <c r="J276" s="127"/>
      <c r="K276" s="127"/>
      <c r="L276" s="127"/>
      <c r="M276" s="127"/>
    </row>
    <row r="277" spans="1:13">
      <c r="A277" s="127"/>
      <c r="B277" s="21" t="s">
        <v>6</v>
      </c>
      <c r="C277" s="25">
        <f>-C275</f>
        <v>-600</v>
      </c>
      <c r="D277" s="15" t="s">
        <v>16</v>
      </c>
      <c r="E277" s="15"/>
      <c r="F277" s="15"/>
      <c r="G277" s="127"/>
      <c r="H277" s="127"/>
      <c r="I277" s="168"/>
      <c r="J277" s="127"/>
      <c r="K277" s="127"/>
      <c r="L277" s="127"/>
      <c r="M277" s="127"/>
    </row>
    <row r="278" spans="1:13">
      <c r="A278" s="127"/>
      <c r="B278" s="63" t="s">
        <v>139</v>
      </c>
      <c r="C278" t="s">
        <v>140</v>
      </c>
      <c r="E278" s="15"/>
      <c r="F278" s="15"/>
      <c r="G278" s="127"/>
      <c r="H278" s="128"/>
      <c r="I278" s="168"/>
      <c r="J278" s="127"/>
      <c r="K278" s="127"/>
      <c r="L278" s="127"/>
      <c r="M278" s="127"/>
    </row>
    <row r="279" spans="1:13">
      <c r="A279" s="127"/>
      <c r="B279" s="63" t="s">
        <v>6</v>
      </c>
      <c r="C279" s="76">
        <f>C273-C262</f>
        <v>116</v>
      </c>
      <c r="D279" t="s">
        <v>20</v>
      </c>
      <c r="E279" s="15"/>
      <c r="G279" s="127"/>
      <c r="H279" s="128"/>
      <c r="I279" s="168"/>
      <c r="J279" s="127"/>
      <c r="K279" s="127"/>
      <c r="L279" s="127"/>
      <c r="M279" s="127"/>
    </row>
    <row r="280" spans="1:13">
      <c r="A280" s="127"/>
      <c r="B280" s="63" t="s">
        <v>253</v>
      </c>
      <c r="C280" s="75" t="s">
        <v>256</v>
      </c>
      <c r="G280" s="127"/>
      <c r="H280" s="128"/>
      <c r="I280" s="168"/>
      <c r="J280" s="127"/>
      <c r="K280" s="127"/>
      <c r="L280" s="127"/>
      <c r="M280" s="127"/>
    </row>
    <row r="281" spans="1:13">
      <c r="B281" s="63" t="s">
        <v>6</v>
      </c>
      <c r="C281" s="74">
        <f>-C261*(C264-C262)</f>
        <v>30000</v>
      </c>
      <c r="D281" s="15" t="s">
        <v>21</v>
      </c>
      <c r="E281" s="124"/>
      <c r="G281" s="127"/>
      <c r="H281" s="128"/>
      <c r="I281" s="168"/>
      <c r="J281" s="127"/>
      <c r="K281" s="127"/>
      <c r="L281" s="127"/>
      <c r="M281" s="127"/>
    </row>
    <row r="282" spans="1:13">
      <c r="B282" s="21" t="s">
        <v>117</v>
      </c>
      <c r="C282" s="100" t="s">
        <v>172</v>
      </c>
      <c r="D282" s="15"/>
      <c r="G282" s="127"/>
      <c r="H282" s="128"/>
      <c r="I282" s="168"/>
      <c r="J282" s="127"/>
      <c r="K282" s="127"/>
      <c r="L282" s="127"/>
      <c r="M282" s="127"/>
    </row>
    <row r="283" spans="1:13">
      <c r="B283" s="19" t="s">
        <v>6</v>
      </c>
      <c r="C283" s="25">
        <f>-C261*C279</f>
        <v>-69600</v>
      </c>
      <c r="D283" s="15" t="s">
        <v>21</v>
      </c>
      <c r="G283" s="127"/>
      <c r="H283" s="128"/>
      <c r="I283" s="168"/>
      <c r="J283" s="127"/>
      <c r="K283" s="127"/>
      <c r="L283" s="127"/>
      <c r="M283" s="127"/>
    </row>
    <row r="284" spans="1:13">
      <c r="G284" s="127"/>
      <c r="H284" s="128"/>
      <c r="I284" s="168"/>
      <c r="J284" s="127"/>
      <c r="K284" s="127"/>
      <c r="L284" s="127"/>
      <c r="M284" s="127"/>
    </row>
    <row r="285" spans="1:13">
      <c r="B285" s="58"/>
      <c r="C285" s="33"/>
      <c r="D285" s="28"/>
      <c r="E285" s="33"/>
      <c r="F285" s="42"/>
      <c r="G285" s="127"/>
      <c r="H285" s="128"/>
      <c r="I285" s="168"/>
      <c r="J285" s="127"/>
      <c r="K285" s="127"/>
      <c r="L285" s="127"/>
      <c r="M285" s="127"/>
    </row>
    <row r="286" spans="1:13">
      <c r="G286" s="127"/>
      <c r="H286" s="128"/>
      <c r="I286" s="168"/>
      <c r="J286" s="127"/>
      <c r="K286" s="127"/>
      <c r="L286" s="127"/>
      <c r="M286" s="127"/>
    </row>
    <row r="287" spans="1:13" ht="15">
      <c r="B287" s="101" t="s">
        <v>132</v>
      </c>
      <c r="C287" s="32" t="s">
        <v>173</v>
      </c>
      <c r="D287" s="15"/>
      <c r="E287" s="15"/>
      <c r="F287" s="15"/>
      <c r="G287" s="127"/>
      <c r="H287" s="128"/>
      <c r="I287" s="168"/>
      <c r="J287" s="127"/>
      <c r="K287" s="127"/>
      <c r="L287" s="127"/>
      <c r="M287" s="127"/>
    </row>
    <row r="288" spans="1:13" ht="15.75">
      <c r="B288" s="21" t="s">
        <v>142</v>
      </c>
      <c r="C288" s="23" t="s">
        <v>141</v>
      </c>
      <c r="D288" s="15"/>
      <c r="E288" s="15"/>
      <c r="F288" s="15"/>
      <c r="G288" s="127"/>
      <c r="H288" s="128"/>
      <c r="I288" s="168"/>
      <c r="J288" s="127"/>
      <c r="K288" s="127"/>
      <c r="L288" s="127"/>
      <c r="M288" s="127"/>
    </row>
    <row r="289" spans="2:13">
      <c r="B289" s="56" t="s">
        <v>6</v>
      </c>
      <c r="C289" s="38">
        <f>(C261*C279^2/(6*C269*C268))*(3*C273 - C279)</f>
        <v>8.040651465798046E-2</v>
      </c>
      <c r="D289" s="23" t="s">
        <v>20</v>
      </c>
      <c r="E289" s="15"/>
      <c r="F289" s="15"/>
      <c r="G289" s="127"/>
      <c r="H289" s="128"/>
      <c r="I289" s="168"/>
      <c r="J289" s="127"/>
      <c r="K289" s="127"/>
      <c r="L289" s="127"/>
      <c r="M289" s="127"/>
    </row>
    <row r="290" spans="2:13" ht="13.5" thickBot="1">
      <c r="B290" s="21" t="s">
        <v>342</v>
      </c>
      <c r="C290" s="23" t="s">
        <v>143</v>
      </c>
      <c r="D290" s="14"/>
      <c r="E290" s="15"/>
      <c r="G290" s="127"/>
      <c r="H290" s="128"/>
      <c r="I290" s="168"/>
      <c r="J290" s="127"/>
      <c r="K290" s="127"/>
      <c r="L290" s="127"/>
      <c r="M290" s="127"/>
    </row>
    <row r="291" spans="2:13" ht="13.5" thickBot="1">
      <c r="B291" s="56" t="s">
        <v>6</v>
      </c>
      <c r="C291" s="38">
        <f>(C261*C279^2/(6*C269*C268))*(3*C273 - 3*C264 - C279)</f>
        <v>5.7735504885993487E-2</v>
      </c>
      <c r="D291" s="23" t="s">
        <v>20</v>
      </c>
      <c r="E291" s="123" t="str">
        <f>IF(C264&lt;C262,"x &gt; a, OK","x &gt; a Not OK")</f>
        <v>x &gt; a, OK</v>
      </c>
      <c r="G291" s="127"/>
      <c r="H291" s="128"/>
      <c r="I291" s="168"/>
      <c r="J291" s="127"/>
      <c r="K291" s="127"/>
      <c r="L291" s="127"/>
      <c r="M291" s="127"/>
    </row>
    <row r="292" spans="2:13">
      <c r="B292" s="21" t="s">
        <v>344</v>
      </c>
      <c r="C292" s="23" t="s">
        <v>300</v>
      </c>
      <c r="G292" s="127"/>
      <c r="H292" s="128"/>
      <c r="I292" s="168"/>
      <c r="J292" s="127"/>
      <c r="K292" s="127"/>
      <c r="L292" s="127"/>
      <c r="M292" s="127"/>
    </row>
    <row r="293" spans="2:13">
      <c r="B293" s="128" t="s">
        <v>6</v>
      </c>
      <c r="C293" s="38">
        <f>C261*C279^3/(3*C269*C268)</f>
        <v>3.5064495114006514E-2</v>
      </c>
      <c r="D293" t="s">
        <v>20</v>
      </c>
      <c r="G293" s="127"/>
      <c r="H293" s="128"/>
      <c r="I293" s="168"/>
      <c r="J293" s="127"/>
      <c r="K293" s="127"/>
      <c r="L293" s="127"/>
      <c r="M293" s="127"/>
    </row>
    <row r="294" spans="2:13" ht="13.5" thickBot="1">
      <c r="B294" s="21" t="s">
        <v>343</v>
      </c>
      <c r="C294" s="23" t="s">
        <v>144</v>
      </c>
      <c r="D294" s="14"/>
      <c r="E294" s="15"/>
      <c r="G294" s="127"/>
      <c r="H294" s="128"/>
      <c r="I294" s="168"/>
      <c r="J294" s="127"/>
      <c r="K294" s="127"/>
      <c r="L294" s="127"/>
      <c r="M294" s="127"/>
    </row>
    <row r="295" spans="2:13" ht="13.5" thickBot="1">
      <c r="B295" s="63" t="s">
        <v>6</v>
      </c>
      <c r="C295" s="38">
        <f>(C261*(C273 - C264)^2/(6*C269*C268))*(3*C279 - C273 + C264)</f>
        <v>5.6331483769515897E-2</v>
      </c>
      <c r="D295" t="s">
        <v>20</v>
      </c>
      <c r="E295" s="123" t="str">
        <f>IF(C264&gt;C262,"x &gt; a, OK","x &lt; a, Not OK")</f>
        <v>x &lt; a, Not OK</v>
      </c>
      <c r="G295" s="127"/>
      <c r="H295" s="128"/>
      <c r="I295" s="168"/>
      <c r="J295" s="127"/>
      <c r="K295" s="127"/>
      <c r="L295" s="127"/>
      <c r="M295" s="127"/>
    </row>
    <row r="296" spans="2:13">
      <c r="B296" s="21" t="s">
        <v>30</v>
      </c>
      <c r="C296" s="23" t="s">
        <v>205</v>
      </c>
      <c r="D296" s="15"/>
      <c r="E296" s="15"/>
      <c r="G296" s="127"/>
      <c r="H296" s="128"/>
      <c r="I296" s="168"/>
      <c r="J296" s="127"/>
      <c r="K296" s="127"/>
      <c r="L296" s="127"/>
      <c r="M296" s="127"/>
    </row>
    <row r="297" spans="2:13" ht="13.5" thickBot="1">
      <c r="B297" s="21" t="s">
        <v>6</v>
      </c>
      <c r="C297" s="30">
        <f>C273/360</f>
        <v>0.6</v>
      </c>
      <c r="D297" s="27" t="s">
        <v>20</v>
      </c>
      <c r="E297" s="15"/>
      <c r="G297" s="127"/>
      <c r="H297" s="128"/>
      <c r="I297" s="168"/>
      <c r="J297" s="127"/>
      <c r="K297" s="127"/>
      <c r="L297" s="127"/>
      <c r="M297" s="127"/>
    </row>
    <row r="298" spans="2:13">
      <c r="G298" s="127"/>
      <c r="H298" s="128"/>
      <c r="I298" s="168"/>
      <c r="J298" s="127"/>
      <c r="K298" s="127"/>
      <c r="L298" s="127"/>
      <c r="M298" s="127"/>
    </row>
    <row r="299" spans="2:13">
      <c r="B299" s="58"/>
      <c r="C299" s="33"/>
      <c r="D299" s="28"/>
      <c r="E299" s="33"/>
      <c r="F299" s="42"/>
      <c r="G299" s="127"/>
      <c r="H299" s="128"/>
      <c r="I299" s="168"/>
      <c r="J299" s="127"/>
      <c r="K299" s="127"/>
      <c r="L299" s="127"/>
      <c r="M299" s="127"/>
    </row>
    <row r="300" spans="2:13">
      <c r="G300" s="127"/>
      <c r="H300" s="128"/>
      <c r="I300" s="168"/>
      <c r="J300" s="127"/>
      <c r="K300" s="127"/>
      <c r="L300" s="127"/>
      <c r="M300" s="127"/>
    </row>
    <row r="301" spans="2:13" ht="15.75">
      <c r="B301" s="103" t="s">
        <v>250</v>
      </c>
      <c r="G301" s="127"/>
      <c r="H301" s="128"/>
      <c r="I301" s="168"/>
      <c r="J301" s="127"/>
      <c r="K301" s="127"/>
      <c r="L301" s="127"/>
      <c r="M301" s="127"/>
    </row>
    <row r="302" spans="2:13">
      <c r="B302" s="35" t="s">
        <v>74</v>
      </c>
      <c r="G302" s="127"/>
      <c r="H302" s="128"/>
      <c r="I302" s="168"/>
      <c r="J302" s="127"/>
      <c r="K302" s="127"/>
      <c r="L302" s="127"/>
      <c r="M302" s="127"/>
    </row>
    <row r="303" spans="2:13">
      <c r="G303" s="127"/>
      <c r="H303" s="128"/>
      <c r="I303" s="168"/>
      <c r="J303" s="127"/>
      <c r="K303" s="127"/>
      <c r="L303" s="127"/>
      <c r="M303" s="127"/>
    </row>
    <row r="304" spans="2:13">
      <c r="G304" s="127"/>
      <c r="H304" s="128"/>
      <c r="I304" s="168"/>
      <c r="J304" s="127"/>
      <c r="K304" s="127"/>
      <c r="L304" s="127"/>
      <c r="M304" s="127"/>
    </row>
    <row r="305" spans="6:13">
      <c r="F305" s="102"/>
      <c r="G305" s="127"/>
      <c r="H305" s="128"/>
      <c r="I305" s="168"/>
      <c r="J305" s="127"/>
      <c r="K305" s="127"/>
      <c r="L305" s="127"/>
      <c r="M305" s="127"/>
    </row>
    <row r="306" spans="6:13">
      <c r="G306" s="127"/>
      <c r="H306" s="128"/>
      <c r="I306" s="168"/>
      <c r="J306" s="127"/>
      <c r="K306" s="127"/>
      <c r="L306" s="127"/>
      <c r="M306" s="127"/>
    </row>
    <row r="307" spans="6:13">
      <c r="G307" s="127"/>
      <c r="H307" s="128"/>
      <c r="I307" s="168"/>
      <c r="J307" s="127"/>
      <c r="K307" s="127"/>
      <c r="L307" s="127"/>
      <c r="M307" s="127"/>
    </row>
    <row r="308" spans="6:13">
      <c r="G308" s="127"/>
      <c r="H308" s="128"/>
      <c r="I308" s="168"/>
      <c r="J308" s="127"/>
      <c r="K308" s="127"/>
      <c r="L308" s="127"/>
      <c r="M308" s="127"/>
    </row>
    <row r="309" spans="6:13">
      <c r="G309" s="127"/>
      <c r="H309" s="128"/>
      <c r="I309" s="168"/>
      <c r="J309" s="127"/>
      <c r="K309" s="127"/>
      <c r="L309" s="127"/>
      <c r="M309" s="127"/>
    </row>
    <row r="310" spans="6:13">
      <c r="G310" s="127"/>
      <c r="H310" s="128"/>
      <c r="I310" s="168"/>
      <c r="J310" s="127"/>
      <c r="K310" s="127"/>
      <c r="L310" s="127"/>
      <c r="M310" s="127"/>
    </row>
    <row r="311" spans="6:13">
      <c r="G311" s="127"/>
      <c r="H311" s="128"/>
      <c r="I311" s="168"/>
      <c r="J311" s="127"/>
      <c r="K311" s="127"/>
      <c r="L311" s="127"/>
      <c r="M311" s="127"/>
    </row>
    <row r="312" spans="6:13">
      <c r="G312" s="127"/>
      <c r="H312" s="128"/>
      <c r="I312" s="168"/>
      <c r="J312" s="127"/>
      <c r="K312" s="127"/>
      <c r="L312" s="127"/>
      <c r="M312" s="127"/>
    </row>
    <row r="313" spans="6:13">
      <c r="G313" s="127"/>
      <c r="H313" s="128"/>
      <c r="I313" s="168"/>
      <c r="J313" s="127"/>
      <c r="K313" s="127"/>
      <c r="L313" s="127"/>
      <c r="M313" s="127"/>
    </row>
    <row r="314" spans="6:13">
      <c r="G314" s="127"/>
      <c r="H314" s="128"/>
      <c r="I314" s="168"/>
      <c r="J314" s="127"/>
      <c r="K314" s="127"/>
      <c r="L314" s="127"/>
      <c r="M314" s="127"/>
    </row>
    <row r="315" spans="6:13">
      <c r="G315" s="127"/>
      <c r="H315" s="128"/>
      <c r="I315" s="168"/>
      <c r="J315" s="127"/>
      <c r="K315" s="127"/>
      <c r="L315" s="127"/>
      <c r="M315" s="127"/>
    </row>
    <row r="316" spans="6:13">
      <c r="G316" s="127"/>
      <c r="H316" s="128"/>
      <c r="I316" s="168"/>
      <c r="J316" s="127"/>
      <c r="K316" s="127"/>
      <c r="L316" s="127"/>
      <c r="M316" s="127"/>
    </row>
    <row r="317" spans="6:13">
      <c r="G317" s="127"/>
      <c r="H317" s="128"/>
      <c r="I317" s="168"/>
      <c r="J317" s="127"/>
      <c r="K317" s="127"/>
      <c r="L317" s="127"/>
      <c r="M317" s="127"/>
    </row>
    <row r="318" spans="6:13">
      <c r="G318" s="127"/>
      <c r="H318" s="128"/>
      <c r="I318" s="168"/>
      <c r="J318" s="127"/>
      <c r="K318" s="127"/>
      <c r="L318" s="127"/>
      <c r="M318" s="127"/>
    </row>
    <row r="319" spans="6:13">
      <c r="G319" s="127"/>
      <c r="H319" s="128"/>
      <c r="I319" s="168"/>
      <c r="J319" s="127"/>
      <c r="K319" s="127"/>
      <c r="L319" s="127"/>
      <c r="M319" s="127"/>
    </row>
    <row r="320" spans="6:13">
      <c r="G320" s="127"/>
      <c r="H320" s="128"/>
      <c r="I320" s="168"/>
      <c r="J320" s="127"/>
      <c r="K320" s="127"/>
      <c r="L320" s="127"/>
      <c r="M320" s="127"/>
    </row>
    <row r="321" spans="2:13">
      <c r="G321" s="127"/>
      <c r="H321" s="128"/>
      <c r="I321" s="168"/>
      <c r="J321" s="127"/>
      <c r="K321" s="127"/>
      <c r="L321" s="127"/>
      <c r="M321" s="127"/>
    </row>
    <row r="322" spans="2:13">
      <c r="G322" s="127"/>
      <c r="H322" s="128"/>
      <c r="I322" s="168"/>
      <c r="J322" s="127"/>
      <c r="K322" s="127"/>
      <c r="L322" s="127"/>
      <c r="M322" s="127"/>
    </row>
    <row r="323" spans="2:13">
      <c r="G323" s="127"/>
      <c r="H323" s="128"/>
      <c r="I323" s="168"/>
      <c r="J323" s="127"/>
      <c r="K323" s="127"/>
      <c r="L323" s="127"/>
      <c r="M323" s="127"/>
    </row>
    <row r="324" spans="2:13">
      <c r="G324" s="127"/>
      <c r="H324" s="128"/>
      <c r="I324" s="168"/>
      <c r="J324" s="127"/>
      <c r="K324" s="127"/>
      <c r="L324" s="127"/>
      <c r="M324" s="127"/>
    </row>
    <row r="325" spans="2:13">
      <c r="G325" s="127"/>
      <c r="H325" s="128"/>
      <c r="I325" s="168"/>
      <c r="J325" s="127"/>
      <c r="K325" s="127"/>
      <c r="L325" s="127"/>
      <c r="M325" s="127"/>
    </row>
    <row r="326" spans="2:13">
      <c r="G326" s="127"/>
      <c r="H326" s="128"/>
      <c r="I326" s="168"/>
      <c r="J326" s="127"/>
      <c r="K326" s="127"/>
      <c r="L326" s="127"/>
      <c r="M326" s="127"/>
    </row>
    <row r="327" spans="2:13">
      <c r="G327" s="127"/>
      <c r="H327" s="128"/>
      <c r="I327" s="168"/>
      <c r="J327" s="127"/>
      <c r="K327" s="127"/>
      <c r="L327" s="127"/>
      <c r="M327" s="127"/>
    </row>
    <row r="328" spans="2:13">
      <c r="G328" s="127"/>
      <c r="H328" s="128"/>
      <c r="I328" s="168"/>
      <c r="J328" s="127"/>
      <c r="K328" s="127"/>
      <c r="L328" s="127"/>
      <c r="M328" s="127"/>
    </row>
    <row r="329" spans="2:13">
      <c r="G329" s="127"/>
      <c r="H329" s="128"/>
      <c r="I329" s="168"/>
      <c r="J329" s="127"/>
      <c r="K329" s="127"/>
      <c r="L329" s="127"/>
      <c r="M329" s="127"/>
    </row>
    <row r="330" spans="2:13" ht="13.5" thickBot="1">
      <c r="B330" s="35" t="s">
        <v>496</v>
      </c>
      <c r="C330" s="32" t="s">
        <v>10</v>
      </c>
      <c r="G330" s="127"/>
      <c r="H330" s="128"/>
      <c r="I330" s="168"/>
      <c r="J330" s="127"/>
      <c r="K330" s="127"/>
      <c r="L330" s="127"/>
      <c r="M330" s="127"/>
    </row>
    <row r="331" spans="2:13" ht="13.5" thickBot="1">
      <c r="B331" s="21" t="s">
        <v>216</v>
      </c>
      <c r="C331" s="52" t="s">
        <v>373</v>
      </c>
      <c r="D331" s="15" t="s">
        <v>22</v>
      </c>
      <c r="E331" s="17" t="s">
        <v>42</v>
      </c>
      <c r="F331" s="183">
        <v>10</v>
      </c>
      <c r="G331" s="127"/>
      <c r="H331" s="22"/>
      <c r="I331" s="122"/>
      <c r="J331" s="127"/>
      <c r="K331" s="127"/>
      <c r="L331" s="127"/>
      <c r="M331" s="127"/>
    </row>
    <row r="332" spans="2:13" ht="13.5" thickBot="1">
      <c r="B332" s="21" t="s">
        <v>31</v>
      </c>
      <c r="C332" s="53">
        <v>72</v>
      </c>
      <c r="D332" s="15" t="s">
        <v>55</v>
      </c>
      <c r="E332" s="71" t="s">
        <v>43</v>
      </c>
      <c r="F332" s="18" t="s">
        <v>44</v>
      </c>
      <c r="G332" s="127"/>
      <c r="H332" s="22"/>
      <c r="I332" s="122"/>
      <c r="J332" s="127"/>
      <c r="K332" s="127"/>
      <c r="L332" s="127"/>
      <c r="M332" s="127"/>
    </row>
    <row r="333" spans="2:13" ht="13.5" thickBot="1">
      <c r="B333" s="21" t="s">
        <v>37</v>
      </c>
      <c r="C333" s="53">
        <v>20</v>
      </c>
      <c r="D333" s="15" t="s">
        <v>17</v>
      </c>
      <c r="E333" s="70" t="s">
        <v>6</v>
      </c>
      <c r="F333" s="18">
        <f>F331*12</f>
        <v>120</v>
      </c>
      <c r="G333" s="127"/>
      <c r="H333" s="22"/>
      <c r="I333" s="122"/>
      <c r="J333" s="127"/>
      <c r="K333" s="127"/>
      <c r="L333" s="127"/>
      <c r="M333" s="127"/>
    </row>
    <row r="334" spans="2:13">
      <c r="B334" s="21" t="s">
        <v>40</v>
      </c>
      <c r="C334" s="53">
        <v>100</v>
      </c>
      <c r="D334" s="15" t="s">
        <v>29</v>
      </c>
      <c r="E334" s="15"/>
      <c r="F334" s="15"/>
      <c r="G334" s="127"/>
      <c r="H334" s="22"/>
      <c r="I334" s="122"/>
      <c r="J334" s="127"/>
      <c r="K334" s="127"/>
      <c r="L334" s="127"/>
      <c r="M334" s="127"/>
    </row>
    <row r="335" spans="2:13">
      <c r="B335" s="21" t="s">
        <v>12</v>
      </c>
      <c r="C335" s="53">
        <v>97.4</v>
      </c>
      <c r="D335" s="24" t="s">
        <v>13</v>
      </c>
      <c r="E335" s="15"/>
      <c r="F335" s="15"/>
      <c r="G335" s="127"/>
      <c r="H335" s="22"/>
      <c r="I335" s="122"/>
      <c r="J335" s="127"/>
      <c r="K335" s="127"/>
      <c r="L335" s="127"/>
      <c r="M335" s="127"/>
    </row>
    <row r="336" spans="2:13">
      <c r="B336" s="21" t="s">
        <v>175</v>
      </c>
      <c r="C336" s="53">
        <v>579</v>
      </c>
      <c r="D336" s="15" t="s">
        <v>27</v>
      </c>
      <c r="E336" s="15"/>
      <c r="F336" s="15"/>
      <c r="G336" s="127"/>
      <c r="H336" s="22"/>
      <c r="I336" s="122"/>
      <c r="J336" s="127"/>
      <c r="K336" s="127"/>
      <c r="L336" s="127"/>
      <c r="M336" s="127"/>
    </row>
    <row r="337" spans="2:13">
      <c r="B337" s="21" t="s">
        <v>28</v>
      </c>
      <c r="C337" s="53">
        <v>29000000</v>
      </c>
      <c r="D337" s="15" t="s">
        <v>15</v>
      </c>
      <c r="E337" s="15"/>
      <c r="F337" s="15"/>
      <c r="G337" s="127"/>
      <c r="H337" s="22"/>
      <c r="I337" s="122"/>
      <c r="J337" s="127"/>
      <c r="K337" s="127"/>
      <c r="L337" s="127"/>
      <c r="M337" s="127"/>
    </row>
    <row r="338" spans="2:13" ht="13.5" thickBot="1">
      <c r="B338" s="21" t="s">
        <v>14</v>
      </c>
      <c r="C338" s="54">
        <v>22000</v>
      </c>
      <c r="D338" s="15" t="s">
        <v>15</v>
      </c>
      <c r="E338" s="15"/>
      <c r="F338" s="15"/>
      <c r="G338" s="127"/>
      <c r="H338" s="22"/>
      <c r="I338" s="122"/>
      <c r="J338" s="127"/>
      <c r="K338" s="127"/>
      <c r="L338" s="127"/>
      <c r="M338" s="127"/>
    </row>
    <row r="339" spans="2:13">
      <c r="B339" s="21"/>
      <c r="C339" s="32" t="s">
        <v>114</v>
      </c>
      <c r="D339" s="16"/>
      <c r="E339" s="15"/>
      <c r="F339" s="15"/>
      <c r="G339" s="127"/>
      <c r="H339" s="128"/>
      <c r="I339" s="168"/>
      <c r="J339" s="127"/>
      <c r="K339" s="127"/>
      <c r="L339" s="127"/>
      <c r="M339" s="127"/>
    </row>
    <row r="340" spans="2:13">
      <c r="B340" s="21" t="s">
        <v>18</v>
      </c>
      <c r="C340" s="23" t="s">
        <v>19</v>
      </c>
      <c r="D340" s="15"/>
      <c r="E340" s="16"/>
      <c r="F340" s="15"/>
      <c r="G340" s="127"/>
      <c r="H340" s="128"/>
      <c r="I340" s="168"/>
      <c r="J340" s="127"/>
      <c r="K340" s="127"/>
      <c r="L340" s="127"/>
      <c r="M340" s="127"/>
    </row>
    <row r="341" spans="2:13">
      <c r="B341" s="19" t="s">
        <v>6</v>
      </c>
      <c r="C341" s="25">
        <f>12*C333</f>
        <v>240</v>
      </c>
      <c r="D341" s="15" t="s">
        <v>20</v>
      </c>
      <c r="E341" s="15"/>
      <c r="F341" s="16"/>
      <c r="G341" s="127"/>
      <c r="H341" s="128"/>
      <c r="I341" s="168"/>
      <c r="J341" s="127"/>
      <c r="K341" s="127"/>
      <c r="L341" s="127"/>
      <c r="M341" s="127"/>
    </row>
    <row r="342" spans="2:13">
      <c r="B342" s="21" t="s">
        <v>176</v>
      </c>
      <c r="C342" s="23" t="s">
        <v>177</v>
      </c>
      <c r="D342" s="15"/>
      <c r="E342" s="15"/>
      <c r="F342" s="15"/>
      <c r="G342" s="127"/>
      <c r="H342" s="128"/>
      <c r="I342" s="168"/>
      <c r="J342" s="127"/>
      <c r="K342" s="127"/>
      <c r="L342" s="127"/>
      <c r="M342" s="127"/>
    </row>
    <row r="343" spans="2:13">
      <c r="B343" s="19" t="s">
        <v>6</v>
      </c>
      <c r="C343" s="25">
        <f>C332*C333</f>
        <v>1440</v>
      </c>
      <c r="D343" s="15" t="s">
        <v>16</v>
      </c>
      <c r="F343" s="15"/>
      <c r="G343" s="127"/>
      <c r="H343" s="128"/>
      <c r="I343" s="168"/>
      <c r="J343" s="127"/>
      <c r="K343" s="127"/>
      <c r="L343" s="127"/>
      <c r="M343" s="127"/>
    </row>
    <row r="344" spans="2:13" ht="15.75">
      <c r="B344" s="21" t="s">
        <v>316</v>
      </c>
      <c r="C344" s="100" t="s">
        <v>258</v>
      </c>
      <c r="D344" s="15"/>
      <c r="F344" s="15"/>
      <c r="G344" s="127"/>
      <c r="H344" s="128"/>
      <c r="I344" s="168"/>
      <c r="J344" s="127"/>
      <c r="K344" s="127"/>
      <c r="L344" s="127"/>
      <c r="M344" s="127"/>
    </row>
    <row r="345" spans="2:13">
      <c r="B345" s="19" t="s">
        <v>6</v>
      </c>
      <c r="C345" s="55">
        <f>-(C332/12)*C341^2 / 3</f>
        <v>-115200</v>
      </c>
      <c r="D345" s="15" t="s">
        <v>21</v>
      </c>
      <c r="E345" s="15"/>
      <c r="F345" s="15"/>
      <c r="G345" s="127"/>
      <c r="H345" s="128"/>
      <c r="I345" s="168"/>
      <c r="J345" s="127"/>
      <c r="K345" s="127"/>
      <c r="L345" s="127"/>
      <c r="M345" s="127"/>
    </row>
    <row r="346" spans="2:13" ht="15.75">
      <c r="B346" s="21" t="s">
        <v>259</v>
      </c>
      <c r="C346" s="55" t="s">
        <v>178</v>
      </c>
      <c r="D346" s="15"/>
      <c r="E346" s="15"/>
      <c r="F346" s="15"/>
      <c r="G346" s="127"/>
      <c r="H346" s="128"/>
      <c r="I346" s="168"/>
      <c r="J346" s="127"/>
      <c r="K346" s="127"/>
      <c r="L346" s="127"/>
      <c r="M346" s="127"/>
    </row>
    <row r="347" spans="2:13">
      <c r="C347" s="55">
        <f>(C332/12)*C341^2 / 6</f>
        <v>57600</v>
      </c>
      <c r="D347" t="s">
        <v>21</v>
      </c>
      <c r="E347" s="15"/>
      <c r="F347" s="15"/>
      <c r="G347" s="127"/>
      <c r="H347" s="128"/>
      <c r="I347" s="168"/>
      <c r="J347" s="127"/>
      <c r="K347" s="127"/>
      <c r="L347" s="127"/>
      <c r="M347" s="127"/>
    </row>
    <row r="348" spans="2:13">
      <c r="B348" s="21" t="s">
        <v>123</v>
      </c>
      <c r="C348" s="55" t="s">
        <v>179</v>
      </c>
      <c r="E348" s="15"/>
      <c r="F348" s="15"/>
      <c r="G348" s="127"/>
      <c r="H348" s="128"/>
      <c r="I348" s="168"/>
      <c r="J348" s="127"/>
      <c r="K348" s="127"/>
      <c r="L348" s="127"/>
      <c r="M348" s="127"/>
    </row>
    <row r="349" spans="2:13">
      <c r="C349" s="55">
        <f>(C332/12)*(C341^2 - 3*C334^2) / 6</f>
        <v>27600</v>
      </c>
      <c r="D349" t="s">
        <v>21</v>
      </c>
      <c r="G349" s="127"/>
      <c r="H349" s="128"/>
      <c r="I349" s="168"/>
      <c r="J349" s="127"/>
      <c r="K349" s="127"/>
      <c r="L349" s="127"/>
      <c r="M349" s="127"/>
    </row>
    <row r="350" spans="2:13" ht="15.75">
      <c r="B350" s="21" t="s">
        <v>56</v>
      </c>
      <c r="C350" s="23" t="s">
        <v>255</v>
      </c>
      <c r="D350" s="15"/>
      <c r="G350" s="127"/>
      <c r="H350" s="128"/>
      <c r="I350" s="168"/>
      <c r="J350" s="127"/>
      <c r="K350" s="127"/>
      <c r="L350" s="127"/>
      <c r="M350" s="127"/>
    </row>
    <row r="351" spans="2:13">
      <c r="B351" s="21" t="s">
        <v>6</v>
      </c>
      <c r="C351" s="25">
        <f>C349/C335</f>
        <v>283.36755646817249</v>
      </c>
      <c r="D351" s="15" t="s">
        <v>15</v>
      </c>
      <c r="G351" s="127"/>
      <c r="H351" s="128"/>
      <c r="I351" s="168"/>
      <c r="J351" s="127"/>
      <c r="K351" s="127"/>
      <c r="L351" s="127"/>
      <c r="M351" s="127"/>
    </row>
    <row r="352" spans="2:13">
      <c r="B352" s="21" t="s">
        <v>57</v>
      </c>
      <c r="C352" s="23" t="s">
        <v>58</v>
      </c>
      <c r="D352" s="24"/>
      <c r="G352" s="127"/>
      <c r="H352" s="128"/>
      <c r="I352" s="168"/>
      <c r="J352" s="127"/>
      <c r="K352" s="127"/>
      <c r="L352" s="127"/>
      <c r="M352" s="127"/>
    </row>
    <row r="353" spans="2:13">
      <c r="B353" s="21" t="s">
        <v>6</v>
      </c>
      <c r="C353" s="29">
        <f>$C$81/C351</f>
        <v>77.637681159420282</v>
      </c>
      <c r="D353" s="45" t="str">
        <f>IF(C353&lt;2,"SFx &lt; 2.00, Not OK","SFx &gt; 2.00,  OK")</f>
        <v>SFx &gt; 2.00,  OK</v>
      </c>
      <c r="G353" s="127"/>
      <c r="H353" s="128"/>
      <c r="I353" s="168"/>
      <c r="J353" s="127"/>
      <c r="K353" s="127"/>
      <c r="L353" s="127"/>
      <c r="M353" s="127"/>
    </row>
    <row r="354" spans="2:13">
      <c r="G354" s="127"/>
      <c r="H354" s="128"/>
      <c r="I354" s="168"/>
      <c r="J354" s="127"/>
      <c r="K354" s="127"/>
      <c r="L354" s="127"/>
      <c r="M354" s="127"/>
    </row>
    <row r="355" spans="2:13">
      <c r="B355" s="58"/>
      <c r="C355" s="33"/>
      <c r="D355" s="28"/>
      <c r="E355" s="33"/>
      <c r="G355" s="127"/>
      <c r="H355" s="128"/>
      <c r="I355" s="168"/>
      <c r="J355" s="127"/>
      <c r="K355" s="127"/>
      <c r="L355" s="127"/>
      <c r="M355" s="127"/>
    </row>
    <row r="356" spans="2:13">
      <c r="F356" s="42"/>
      <c r="G356" s="127"/>
      <c r="H356" s="128"/>
      <c r="I356" s="168"/>
      <c r="J356" s="127"/>
      <c r="K356" s="127"/>
      <c r="L356" s="127"/>
      <c r="M356" s="127"/>
    </row>
    <row r="357" spans="2:13">
      <c r="B357" s="35" t="s">
        <v>132</v>
      </c>
      <c r="C357" s="32" t="s">
        <v>114</v>
      </c>
      <c r="D357" s="15"/>
      <c r="E357" s="15"/>
      <c r="F357" s="15"/>
      <c r="G357" s="127"/>
      <c r="H357" s="128"/>
      <c r="I357" s="168"/>
      <c r="J357" s="127"/>
      <c r="K357" s="127"/>
      <c r="L357" s="127"/>
      <c r="M357" s="127"/>
    </row>
    <row r="358" spans="2:13">
      <c r="B358" s="21" t="s">
        <v>182</v>
      </c>
      <c r="C358" s="23" t="s">
        <v>180</v>
      </c>
      <c r="D358" s="15"/>
      <c r="E358" s="15"/>
      <c r="F358" s="15"/>
      <c r="G358" s="127"/>
      <c r="H358" s="128"/>
      <c r="I358" s="168"/>
      <c r="J358" s="127"/>
      <c r="K358" s="127"/>
      <c r="L358" s="127"/>
      <c r="M358" s="127"/>
    </row>
    <row r="359" spans="2:13">
      <c r="B359" s="56" t="s">
        <v>6</v>
      </c>
      <c r="C359" s="38">
        <f>(C332/12)*C341^4 / (24*C337*C336)</f>
        <v>4.9397891727711273E-2</v>
      </c>
      <c r="D359" s="23" t="s">
        <v>20</v>
      </c>
      <c r="E359" s="45" t="str">
        <f>IF(C359&lt;C363,"OK","Not OK")</f>
        <v>OK</v>
      </c>
      <c r="F359" s="15"/>
      <c r="G359" s="127"/>
      <c r="H359" s="128"/>
      <c r="I359" s="168"/>
      <c r="J359" s="127"/>
      <c r="K359" s="127"/>
      <c r="L359" s="127"/>
      <c r="M359" s="127"/>
    </row>
    <row r="360" spans="2:13">
      <c r="B360" s="21" t="s">
        <v>181</v>
      </c>
      <c r="C360" s="23" t="s">
        <v>183</v>
      </c>
      <c r="D360" s="14"/>
      <c r="E360" s="15"/>
      <c r="F360" s="15"/>
      <c r="G360" s="127"/>
      <c r="H360" s="128"/>
      <c r="I360" s="168"/>
      <c r="J360" s="127"/>
      <c r="K360" s="127"/>
      <c r="L360" s="127"/>
      <c r="M360" s="127"/>
    </row>
    <row r="361" spans="2:13">
      <c r="B361" s="63" t="s">
        <v>6</v>
      </c>
      <c r="C361" s="176">
        <f>(C332/12)*(C341^2 - C334^2)^2 / (24*C337*C336)</f>
        <v>3.3734738848192482E-2</v>
      </c>
      <c r="D361" s="77" t="s">
        <v>20</v>
      </c>
      <c r="G361" s="127"/>
      <c r="H361" s="128"/>
      <c r="I361" s="168"/>
      <c r="J361" s="127"/>
      <c r="K361" s="127"/>
      <c r="L361" s="127"/>
      <c r="M361" s="127"/>
    </row>
    <row r="362" spans="2:13">
      <c r="B362" s="21" t="s">
        <v>30</v>
      </c>
      <c r="C362" s="77" t="s">
        <v>66</v>
      </c>
      <c r="D362" s="24"/>
      <c r="E362" s="15"/>
      <c r="F362" s="41"/>
      <c r="G362" s="127"/>
      <c r="H362" s="128"/>
      <c r="I362" s="168"/>
      <c r="J362" s="127"/>
      <c r="K362" s="127"/>
      <c r="L362" s="127"/>
      <c r="M362" s="127"/>
    </row>
    <row r="363" spans="2:13">
      <c r="B363" s="21" t="s">
        <v>6</v>
      </c>
      <c r="C363" s="176">
        <f>C341/360</f>
        <v>0.66666666666666663</v>
      </c>
      <c r="D363" s="24" t="s">
        <v>20</v>
      </c>
      <c r="G363" s="127"/>
      <c r="H363" s="128"/>
      <c r="I363" s="168"/>
      <c r="J363" s="127"/>
      <c r="K363" s="127"/>
      <c r="L363" s="127"/>
      <c r="M363" s="127"/>
    </row>
    <row r="364" spans="2:13">
      <c r="B364" s="35" t="s">
        <v>71</v>
      </c>
      <c r="C364" s="32"/>
      <c r="D364" s="15"/>
      <c r="E364" s="15"/>
      <c r="G364" s="127"/>
      <c r="H364" s="128"/>
      <c r="I364" s="168"/>
      <c r="J364" s="127"/>
      <c r="K364" s="127"/>
      <c r="L364" s="127"/>
      <c r="M364" s="127"/>
    </row>
    <row r="365" spans="2:13">
      <c r="B365" s="39" t="s">
        <v>185</v>
      </c>
      <c r="C365" s="23">
        <v>0</v>
      </c>
      <c r="D365" s="14"/>
      <c r="E365" s="42"/>
      <c r="F365" s="42"/>
      <c r="G365" s="127"/>
      <c r="H365" s="128"/>
      <c r="I365" s="168"/>
      <c r="J365" s="127"/>
      <c r="K365" s="127"/>
      <c r="L365" s="127"/>
      <c r="M365" s="127"/>
    </row>
    <row r="366" spans="2:13">
      <c r="B366" s="56"/>
      <c r="C366" s="40"/>
      <c r="D366" s="23"/>
      <c r="E366" s="62"/>
      <c r="F366" s="41"/>
      <c r="G366" s="127"/>
      <c r="H366" s="128"/>
      <c r="I366" s="168"/>
      <c r="J366" s="127"/>
      <c r="K366" s="127"/>
      <c r="L366" s="127"/>
      <c r="M366" s="127"/>
    </row>
    <row r="367" spans="2:13">
      <c r="B367" s="39" t="s">
        <v>184</v>
      </c>
      <c r="C367" s="23">
        <v>0</v>
      </c>
      <c r="D367" s="14"/>
      <c r="E367" s="15"/>
      <c r="F367" s="41"/>
      <c r="G367" s="127"/>
      <c r="H367" s="128"/>
      <c r="I367" s="168"/>
      <c r="J367" s="127"/>
      <c r="K367" s="127"/>
      <c r="L367" s="127"/>
      <c r="M367" s="127"/>
    </row>
    <row r="368" spans="2:13">
      <c r="B368" s="21"/>
      <c r="C368" s="23"/>
      <c r="D368" s="15"/>
      <c r="E368" s="15"/>
      <c r="G368" s="127"/>
      <c r="H368" s="128"/>
      <c r="I368" s="168"/>
      <c r="J368" s="127"/>
      <c r="K368" s="127"/>
      <c r="L368" s="127"/>
      <c r="M368" s="127"/>
    </row>
    <row r="369" spans="2:13">
      <c r="B369" s="58"/>
      <c r="C369" s="33"/>
      <c r="D369" s="28"/>
      <c r="E369" s="33"/>
      <c r="F369" s="41"/>
      <c r="G369" s="127"/>
      <c r="H369" s="128"/>
      <c r="I369" s="168"/>
      <c r="J369" s="127"/>
      <c r="K369" s="127"/>
      <c r="L369" s="127"/>
      <c r="M369" s="127"/>
    </row>
    <row r="370" spans="2:13">
      <c r="F370" s="41"/>
      <c r="G370" s="127"/>
      <c r="H370" s="128"/>
      <c r="I370" s="168"/>
      <c r="J370" s="127"/>
      <c r="K370" s="127"/>
      <c r="L370" s="127"/>
      <c r="M370" s="127"/>
    </row>
    <row r="371" spans="2:13" ht="15.75">
      <c r="B371" s="103" t="s">
        <v>315</v>
      </c>
      <c r="F371" s="41"/>
      <c r="G371" s="127"/>
      <c r="H371" s="128"/>
      <c r="I371" s="168"/>
      <c r="J371" s="127"/>
      <c r="K371" s="127"/>
      <c r="L371" s="127"/>
      <c r="M371" s="127"/>
    </row>
    <row r="372" spans="2:13">
      <c r="B372" s="35" t="s">
        <v>74</v>
      </c>
      <c r="G372" s="127"/>
      <c r="H372" s="128"/>
      <c r="I372" s="168"/>
      <c r="J372" s="127"/>
      <c r="K372" s="127"/>
      <c r="L372" s="127"/>
      <c r="M372" s="127"/>
    </row>
    <row r="373" spans="2:13">
      <c r="G373" s="127"/>
      <c r="H373" s="128"/>
      <c r="I373" s="168"/>
      <c r="J373" s="127"/>
      <c r="K373" s="127"/>
      <c r="L373" s="127"/>
      <c r="M373" s="127"/>
    </row>
    <row r="374" spans="2:13">
      <c r="G374" s="127"/>
      <c r="H374" s="128"/>
      <c r="I374" s="168"/>
      <c r="J374" s="127"/>
      <c r="K374" s="127"/>
      <c r="L374" s="127"/>
      <c r="M374" s="127"/>
    </row>
    <row r="375" spans="2:13">
      <c r="G375" s="127"/>
      <c r="H375" s="128"/>
      <c r="I375" s="168"/>
      <c r="J375" s="127"/>
      <c r="K375" s="127"/>
      <c r="L375" s="127"/>
      <c r="M375" s="127"/>
    </row>
    <row r="376" spans="2:13">
      <c r="G376" s="127"/>
      <c r="H376" s="128"/>
      <c r="I376" s="168"/>
      <c r="J376" s="127"/>
      <c r="K376" s="127"/>
      <c r="L376" s="127"/>
      <c r="M376" s="127"/>
    </row>
    <row r="377" spans="2:13">
      <c r="G377" s="127"/>
      <c r="H377" s="128"/>
      <c r="I377" s="168"/>
      <c r="J377" s="127"/>
      <c r="K377" s="127"/>
      <c r="L377" s="127"/>
      <c r="M377" s="127"/>
    </row>
    <row r="378" spans="2:13">
      <c r="G378" s="127"/>
      <c r="H378" s="128"/>
      <c r="I378" s="168"/>
      <c r="J378" s="127"/>
      <c r="K378" s="127"/>
      <c r="L378" s="127"/>
      <c r="M378" s="127"/>
    </row>
    <row r="379" spans="2:13">
      <c r="G379" s="127"/>
      <c r="H379" s="128"/>
      <c r="I379" s="168"/>
      <c r="J379" s="127"/>
      <c r="K379" s="127"/>
      <c r="L379" s="127"/>
      <c r="M379" s="127"/>
    </row>
    <row r="380" spans="2:13">
      <c r="G380" s="127"/>
      <c r="H380" s="128"/>
      <c r="I380" s="168"/>
      <c r="J380" s="127"/>
      <c r="K380" s="127"/>
      <c r="L380" s="127"/>
      <c r="M380" s="127"/>
    </row>
    <row r="381" spans="2:13">
      <c r="G381" s="127"/>
      <c r="H381" s="128"/>
      <c r="I381" s="168"/>
      <c r="J381" s="127"/>
      <c r="K381" s="127"/>
      <c r="L381" s="127"/>
      <c r="M381" s="127"/>
    </row>
    <row r="382" spans="2:13">
      <c r="G382" s="127"/>
      <c r="H382" s="128"/>
      <c r="I382" s="168"/>
      <c r="J382" s="127"/>
      <c r="K382" s="127"/>
      <c r="L382" s="127"/>
      <c r="M382" s="127"/>
    </row>
    <row r="383" spans="2:13">
      <c r="G383" s="127"/>
      <c r="H383" s="128"/>
      <c r="I383" s="168"/>
      <c r="J383" s="127"/>
      <c r="K383" s="127"/>
      <c r="L383" s="127"/>
      <c r="M383" s="127"/>
    </row>
    <row r="384" spans="2:13">
      <c r="G384" s="127"/>
      <c r="H384" s="128"/>
      <c r="I384" s="168"/>
      <c r="J384" s="127"/>
      <c r="K384" s="127"/>
      <c r="L384" s="127"/>
      <c r="M384" s="127"/>
    </row>
    <row r="385" spans="7:13">
      <c r="G385" s="127"/>
      <c r="H385" s="128"/>
      <c r="I385" s="168"/>
      <c r="J385" s="127"/>
      <c r="K385" s="127"/>
      <c r="L385" s="127"/>
      <c r="M385" s="127"/>
    </row>
    <row r="386" spans="7:13">
      <c r="G386" s="127"/>
      <c r="H386" s="128"/>
      <c r="I386" s="168"/>
      <c r="J386" s="127"/>
      <c r="K386" s="127"/>
      <c r="L386" s="127"/>
      <c r="M386" s="127"/>
    </row>
    <row r="387" spans="7:13">
      <c r="G387" s="127"/>
      <c r="H387" s="128"/>
      <c r="I387" s="168"/>
      <c r="J387" s="127"/>
      <c r="K387" s="127"/>
      <c r="L387" s="127"/>
      <c r="M387" s="127"/>
    </row>
    <row r="388" spans="7:13">
      <c r="G388" s="127"/>
      <c r="H388" s="128"/>
      <c r="I388" s="168"/>
      <c r="J388" s="127"/>
      <c r="K388" s="127"/>
      <c r="L388" s="127"/>
      <c r="M388" s="127"/>
    </row>
    <row r="389" spans="7:13">
      <c r="G389" s="127"/>
      <c r="H389" s="128"/>
      <c r="I389" s="168"/>
      <c r="J389" s="127"/>
      <c r="K389" s="127"/>
      <c r="L389" s="127"/>
      <c r="M389" s="127"/>
    </row>
    <row r="390" spans="7:13">
      <c r="G390" s="127"/>
      <c r="H390" s="128"/>
      <c r="I390" s="168"/>
      <c r="J390" s="127"/>
      <c r="K390" s="127"/>
      <c r="L390" s="127"/>
      <c r="M390" s="127"/>
    </row>
    <row r="391" spans="7:13">
      <c r="G391" s="127"/>
      <c r="H391" s="128"/>
      <c r="I391" s="168"/>
      <c r="J391" s="127"/>
      <c r="K391" s="127"/>
      <c r="L391" s="127"/>
      <c r="M391" s="127"/>
    </row>
    <row r="392" spans="7:13">
      <c r="G392" s="127"/>
      <c r="H392" s="128"/>
      <c r="I392" s="168"/>
      <c r="J392" s="127"/>
      <c r="K392" s="127"/>
      <c r="L392" s="127"/>
      <c r="M392" s="127"/>
    </row>
    <row r="393" spans="7:13">
      <c r="G393" s="127"/>
      <c r="H393" s="128"/>
      <c r="I393" s="168"/>
      <c r="J393" s="127"/>
      <c r="K393" s="127"/>
      <c r="L393" s="127"/>
      <c r="M393" s="127"/>
    </row>
    <row r="394" spans="7:13">
      <c r="G394" s="127"/>
      <c r="H394" s="128"/>
      <c r="I394" s="168"/>
      <c r="J394" s="127"/>
      <c r="K394" s="127"/>
      <c r="L394" s="127"/>
      <c r="M394" s="127"/>
    </row>
    <row r="395" spans="7:13">
      <c r="G395" s="127"/>
      <c r="H395" s="128"/>
      <c r="I395" s="168"/>
      <c r="J395" s="127"/>
      <c r="K395" s="127"/>
      <c r="L395" s="127"/>
      <c r="M395" s="127"/>
    </row>
    <row r="396" spans="7:13">
      <c r="G396" s="127"/>
      <c r="H396" s="128"/>
      <c r="I396" s="168"/>
      <c r="J396" s="127"/>
      <c r="K396" s="127"/>
      <c r="L396" s="127"/>
      <c r="M396" s="127"/>
    </row>
    <row r="397" spans="7:13">
      <c r="G397" s="127"/>
      <c r="H397" s="128"/>
      <c r="I397" s="168"/>
      <c r="J397" s="127"/>
      <c r="K397" s="127"/>
      <c r="L397" s="127"/>
      <c r="M397" s="127"/>
    </row>
    <row r="398" spans="7:13">
      <c r="G398" s="127"/>
      <c r="H398" s="128"/>
      <c r="I398" s="168"/>
      <c r="J398" s="127"/>
      <c r="K398" s="127"/>
      <c r="L398" s="127"/>
      <c r="M398" s="127"/>
    </row>
    <row r="399" spans="7:13">
      <c r="G399" s="127"/>
      <c r="H399" s="128"/>
      <c r="I399" s="168"/>
      <c r="J399" s="127"/>
      <c r="K399" s="127"/>
      <c r="L399" s="127"/>
      <c r="M399" s="127"/>
    </row>
    <row r="400" spans="7:13">
      <c r="G400" s="127"/>
      <c r="H400" s="128"/>
      <c r="I400" s="168"/>
      <c r="J400" s="127"/>
      <c r="K400" s="127"/>
      <c r="L400" s="127"/>
      <c r="M400" s="127"/>
    </row>
    <row r="401" spans="2:13">
      <c r="G401" s="127"/>
      <c r="H401" s="128"/>
      <c r="I401" s="168"/>
      <c r="J401" s="127"/>
      <c r="K401" s="127"/>
      <c r="L401" s="127"/>
      <c r="M401" s="127"/>
    </row>
    <row r="402" spans="2:13">
      <c r="G402" s="127"/>
      <c r="H402" s="128"/>
      <c r="I402" s="168"/>
      <c r="J402" s="127"/>
      <c r="K402" s="127"/>
      <c r="L402" s="127"/>
      <c r="M402" s="127"/>
    </row>
    <row r="403" spans="2:13">
      <c r="G403" s="127"/>
      <c r="H403" s="128"/>
      <c r="I403" s="168"/>
      <c r="J403" s="127"/>
      <c r="K403" s="127"/>
      <c r="L403" s="127"/>
      <c r="M403" s="127"/>
    </row>
    <row r="404" spans="2:13">
      <c r="B404" s="35" t="s">
        <v>393</v>
      </c>
      <c r="C404" s="50"/>
      <c r="D404" s="67"/>
      <c r="E404" s="67"/>
      <c r="G404" s="127"/>
      <c r="H404" s="128"/>
      <c r="I404" s="168"/>
      <c r="J404" s="127"/>
      <c r="K404" s="127"/>
      <c r="L404" s="127"/>
      <c r="M404" s="127"/>
    </row>
    <row r="405" spans="2:13" ht="13.5" thickBot="1">
      <c r="B405" s="67"/>
      <c r="C405" s="179" t="s">
        <v>10</v>
      </c>
      <c r="D405" s="67"/>
      <c r="E405" s="67"/>
      <c r="G405" s="127"/>
      <c r="H405" s="128"/>
      <c r="I405" s="168"/>
      <c r="J405" s="127"/>
      <c r="K405" s="127"/>
      <c r="L405" s="127"/>
      <c r="M405" s="127"/>
    </row>
    <row r="406" spans="2:13">
      <c r="B406" s="39" t="s">
        <v>304</v>
      </c>
      <c r="C406" s="185">
        <v>190000</v>
      </c>
      <c r="D406" s="67" t="s">
        <v>21</v>
      </c>
      <c r="E406" s="67"/>
      <c r="G406" s="9"/>
      <c r="H406" s="190"/>
      <c r="I406" s="168"/>
      <c r="J406" s="127"/>
      <c r="K406" s="127"/>
      <c r="L406" s="127"/>
      <c r="M406" s="127"/>
    </row>
    <row r="407" spans="2:13">
      <c r="B407" s="39" t="s">
        <v>305</v>
      </c>
      <c r="C407" s="186">
        <v>22000</v>
      </c>
      <c r="D407" s="67" t="s">
        <v>15</v>
      </c>
      <c r="E407" s="67"/>
      <c r="G407" s="127"/>
      <c r="H407" s="190"/>
      <c r="I407" s="168"/>
      <c r="J407" s="127"/>
      <c r="K407" s="127"/>
      <c r="L407" s="127"/>
      <c r="M407" s="127"/>
    </row>
    <row r="408" spans="2:13" ht="13.5" thickBot="1">
      <c r="B408" s="39" t="s">
        <v>506</v>
      </c>
      <c r="C408" s="310">
        <v>2.5</v>
      </c>
      <c r="D408" s="67"/>
      <c r="E408" s="67"/>
      <c r="G408" s="127"/>
      <c r="H408" s="311"/>
      <c r="I408" s="168"/>
      <c r="J408" s="127"/>
      <c r="K408" s="127"/>
      <c r="L408" s="127"/>
      <c r="M408" s="127"/>
    </row>
    <row r="409" spans="2:13">
      <c r="B409" s="67"/>
      <c r="C409" s="179" t="s">
        <v>133</v>
      </c>
      <c r="D409" s="67"/>
      <c r="E409" s="67"/>
      <c r="G409" s="127"/>
      <c r="H409" s="128"/>
      <c r="I409" s="168"/>
      <c r="J409" s="127"/>
      <c r="K409" s="127"/>
      <c r="L409" s="127"/>
      <c r="M409" s="127"/>
    </row>
    <row r="410" spans="2:13">
      <c r="B410" s="39" t="s">
        <v>307</v>
      </c>
      <c r="C410" s="67" t="s">
        <v>308</v>
      </c>
      <c r="D410" s="67"/>
      <c r="E410" s="67"/>
      <c r="G410" s="127"/>
      <c r="H410" s="128"/>
      <c r="I410" s="168"/>
      <c r="J410" s="127"/>
      <c r="K410" s="127"/>
      <c r="L410" s="127"/>
      <c r="M410" s="127"/>
    </row>
    <row r="411" spans="2:13" ht="13.5" thickBot="1">
      <c r="B411" s="180" t="s">
        <v>6</v>
      </c>
      <c r="C411" s="181">
        <f>C408*C406 / C407</f>
        <v>21.59090909090909</v>
      </c>
      <c r="D411" s="182" t="s">
        <v>13</v>
      </c>
      <c r="E411" s="67"/>
      <c r="G411" s="127"/>
      <c r="H411" s="128"/>
      <c r="I411" s="168"/>
      <c r="J411" s="127"/>
      <c r="K411" s="127"/>
      <c r="L411" s="127"/>
      <c r="M411" s="127"/>
    </row>
    <row r="412" spans="2:13" ht="15">
      <c r="B412" s="1"/>
      <c r="C412" s="1"/>
      <c r="D412" s="1"/>
      <c r="G412" s="127"/>
      <c r="H412" s="128"/>
      <c r="I412" s="168"/>
      <c r="J412" s="127"/>
      <c r="K412" s="127"/>
      <c r="L412" s="127"/>
      <c r="M412" s="127"/>
    </row>
    <row r="413" spans="2:13" ht="15">
      <c r="B413" s="1"/>
      <c r="C413" s="1"/>
      <c r="D413" s="1"/>
      <c r="G413" s="127"/>
      <c r="H413" s="128"/>
      <c r="I413" s="168"/>
      <c r="J413" s="127"/>
      <c r="K413" s="127"/>
      <c r="L413" s="127"/>
      <c r="M413" s="127"/>
    </row>
    <row r="414" spans="2:13" ht="15">
      <c r="B414" s="1"/>
      <c r="C414" s="1"/>
      <c r="D414" s="1"/>
      <c r="G414" s="127"/>
      <c r="H414" s="128"/>
      <c r="I414" s="168"/>
      <c r="J414" s="127"/>
      <c r="K414" s="127"/>
      <c r="L414" s="127"/>
      <c r="M414" s="127"/>
    </row>
    <row r="415" spans="2:13" ht="15">
      <c r="B415" s="1"/>
      <c r="C415" s="1"/>
      <c r="D415" s="1"/>
      <c r="G415" s="127"/>
      <c r="H415" s="128"/>
      <c r="I415" s="168"/>
      <c r="J415" s="127"/>
      <c r="K415" s="127"/>
      <c r="L415" s="127"/>
      <c r="M415" s="127"/>
    </row>
    <row r="416" spans="2:13" ht="15">
      <c r="B416" s="1"/>
      <c r="C416" s="1"/>
      <c r="D416" s="1"/>
      <c r="G416" s="127"/>
      <c r="H416" s="128"/>
      <c r="I416" s="168"/>
      <c r="J416" s="127"/>
      <c r="K416" s="127"/>
      <c r="L416" s="127"/>
      <c r="M416" s="127"/>
    </row>
    <row r="417" spans="2:13" ht="15">
      <c r="B417" s="1"/>
      <c r="C417" s="1"/>
      <c r="D417" s="1"/>
      <c r="G417" s="127"/>
      <c r="H417" s="128"/>
      <c r="I417" s="168"/>
      <c r="J417" s="127"/>
      <c r="K417" s="127"/>
      <c r="L417" s="127"/>
      <c r="M417" s="127"/>
    </row>
    <row r="418" spans="2:13" ht="15">
      <c r="B418" s="1"/>
      <c r="C418" s="1"/>
      <c r="D418" s="1"/>
      <c r="G418" s="127"/>
      <c r="H418" s="128"/>
      <c r="I418" s="168"/>
      <c r="J418" s="127"/>
      <c r="K418" s="127"/>
      <c r="L418" s="127"/>
      <c r="M418" s="127"/>
    </row>
    <row r="419" spans="2:13" ht="15">
      <c r="B419" s="1"/>
      <c r="C419" s="1"/>
      <c r="D419" s="1"/>
      <c r="G419" s="127"/>
      <c r="H419" s="128"/>
      <c r="I419" s="168"/>
      <c r="J419" s="127"/>
      <c r="K419" s="127"/>
      <c r="L419" s="127"/>
      <c r="M419" s="127"/>
    </row>
    <row r="420" spans="2:13" ht="15">
      <c r="B420" s="1"/>
      <c r="C420" s="1"/>
      <c r="D420" s="1"/>
      <c r="G420" s="127"/>
      <c r="H420" s="128"/>
      <c r="I420" s="168"/>
      <c r="J420" s="127"/>
      <c r="K420" s="127"/>
      <c r="L420" s="127"/>
      <c r="M420" s="127"/>
    </row>
    <row r="421" spans="2:13">
      <c r="B421" s="67"/>
      <c r="C421" s="50" t="s">
        <v>309</v>
      </c>
      <c r="D421" s="67"/>
      <c r="E421" s="67"/>
      <c r="G421" s="127"/>
      <c r="H421" s="128"/>
      <c r="I421" s="168"/>
      <c r="J421" s="127"/>
      <c r="K421" s="127"/>
      <c r="L421" s="127"/>
      <c r="M421" s="127"/>
    </row>
    <row r="422" spans="2:13" ht="13.5" thickBot="1">
      <c r="B422" s="67"/>
      <c r="C422" s="179" t="s">
        <v>10</v>
      </c>
      <c r="D422" s="67"/>
      <c r="E422" s="67"/>
      <c r="G422" s="127"/>
      <c r="H422" s="128"/>
      <c r="I422" s="168"/>
      <c r="J422" s="127"/>
      <c r="K422" s="127"/>
      <c r="L422" s="127"/>
      <c r="M422" s="127"/>
    </row>
    <row r="423" spans="2:13">
      <c r="B423" s="39" t="s">
        <v>310</v>
      </c>
      <c r="C423" s="206" t="s">
        <v>374</v>
      </c>
      <c r="D423" s="67"/>
      <c r="E423" s="67"/>
      <c r="G423" s="127"/>
      <c r="H423" s="128"/>
      <c r="I423" s="168"/>
      <c r="J423" s="127"/>
      <c r="K423" s="127"/>
      <c r="L423" s="127"/>
      <c r="M423" s="127"/>
    </row>
    <row r="424" spans="2:13" ht="13.5" thickBot="1">
      <c r="B424" s="39" t="s">
        <v>312</v>
      </c>
      <c r="C424" s="207">
        <v>92.1</v>
      </c>
      <c r="D424" s="67" t="s">
        <v>13</v>
      </c>
      <c r="E424" s="67"/>
      <c r="G424" s="127"/>
      <c r="H424" s="128"/>
      <c r="I424" s="168"/>
      <c r="J424" s="127"/>
      <c r="K424" s="127"/>
      <c r="L424" s="127"/>
      <c r="M424" s="127"/>
    </row>
    <row r="425" spans="2:13" ht="15">
      <c r="B425" s="1"/>
      <c r="C425" s="1"/>
      <c r="D425" s="1"/>
      <c r="G425" s="127"/>
      <c r="H425" s="143"/>
      <c r="I425" s="168"/>
      <c r="J425" s="127"/>
      <c r="K425" s="127"/>
      <c r="L425" s="127"/>
      <c r="M425" s="127"/>
    </row>
    <row r="426" spans="2:13" ht="15">
      <c r="B426" s="178"/>
      <c r="C426" s="178"/>
      <c r="D426" s="178"/>
      <c r="E426" s="178"/>
      <c r="G426" s="127"/>
      <c r="H426" s="128"/>
      <c r="I426" s="168"/>
      <c r="J426" s="127"/>
      <c r="K426" s="127"/>
      <c r="L426" s="127"/>
      <c r="M426" s="127"/>
    </row>
    <row r="427" spans="2:13" ht="15">
      <c r="B427" s="1"/>
      <c r="C427" s="1"/>
      <c r="D427" s="1"/>
      <c r="G427" s="127"/>
      <c r="H427" s="128"/>
      <c r="I427" s="168"/>
      <c r="J427" s="127"/>
      <c r="K427" s="127"/>
      <c r="L427" s="127"/>
      <c r="M427" s="127"/>
    </row>
    <row r="428" spans="2:13">
      <c r="B428" s="35" t="s">
        <v>314</v>
      </c>
      <c r="C428" s="23"/>
      <c r="D428" s="67"/>
      <c r="E428" s="67"/>
      <c r="G428" s="127"/>
      <c r="H428" s="128"/>
      <c r="I428" s="168"/>
      <c r="J428" s="127"/>
      <c r="K428" s="127"/>
      <c r="L428" s="127"/>
      <c r="M428" s="127"/>
    </row>
    <row r="429" spans="2:13" ht="13.5" thickBot="1">
      <c r="B429" s="67"/>
      <c r="C429" s="179" t="s">
        <v>10</v>
      </c>
      <c r="D429" s="67"/>
      <c r="E429" s="67"/>
      <c r="G429" s="127"/>
      <c r="H429" s="128"/>
      <c r="I429" s="191"/>
      <c r="J429" s="127"/>
      <c r="K429" s="127"/>
      <c r="L429" s="127"/>
      <c r="M429" s="127"/>
    </row>
    <row r="430" spans="2:13">
      <c r="B430" s="39" t="s">
        <v>328</v>
      </c>
      <c r="C430" s="185">
        <v>2552000</v>
      </c>
      <c r="D430" s="67" t="s">
        <v>21</v>
      </c>
      <c r="E430" s="67"/>
      <c r="G430" s="127"/>
      <c r="H430" s="128"/>
      <c r="I430" s="190"/>
      <c r="J430" s="127"/>
      <c r="K430" s="127"/>
      <c r="L430" s="127"/>
      <c r="M430" s="127"/>
    </row>
    <row r="431" spans="2:13">
      <c r="B431" s="39" t="s">
        <v>305</v>
      </c>
      <c r="C431" s="186">
        <v>22000</v>
      </c>
      <c r="D431" s="67" t="s">
        <v>15</v>
      </c>
      <c r="E431" s="67"/>
      <c r="G431" s="127"/>
      <c r="H431" s="128"/>
      <c r="I431" s="190"/>
      <c r="J431" s="127"/>
      <c r="K431" s="127"/>
      <c r="L431" s="127"/>
      <c r="M431" s="127"/>
    </row>
    <row r="432" spans="2:13" ht="13.5" thickBot="1">
      <c r="B432" s="39" t="s">
        <v>306</v>
      </c>
      <c r="C432" s="207">
        <v>2.5</v>
      </c>
      <c r="D432" s="67"/>
      <c r="E432" s="67"/>
      <c r="G432" s="127"/>
      <c r="H432" s="128"/>
      <c r="I432" s="190"/>
      <c r="J432" s="127"/>
      <c r="K432" s="127"/>
      <c r="L432" s="127"/>
      <c r="M432" s="127"/>
    </row>
    <row r="433" spans="1:9">
      <c r="B433" s="67"/>
      <c r="C433" s="179" t="s">
        <v>133</v>
      </c>
      <c r="D433" s="67"/>
      <c r="E433" s="67"/>
      <c r="I433" s="299"/>
    </row>
    <row r="434" spans="1:9">
      <c r="B434" s="39" t="s">
        <v>495</v>
      </c>
      <c r="C434" s="67" t="s">
        <v>308</v>
      </c>
      <c r="D434" s="67"/>
      <c r="E434" s="67"/>
    </row>
    <row r="435" spans="1:9" ht="13.5" thickBot="1">
      <c r="B435" s="180" t="s">
        <v>6</v>
      </c>
      <c r="C435" s="181">
        <f>C432*C430 / C431</f>
        <v>290</v>
      </c>
      <c r="D435" s="187" t="s">
        <v>13</v>
      </c>
      <c r="E435" s="67"/>
    </row>
    <row r="436" spans="1:9" ht="13.5" thickBot="1"/>
    <row r="437" spans="1:9" ht="13.5" thickBot="1">
      <c r="A437" s="144" t="s">
        <v>554</v>
      </c>
      <c r="B437" s="349" t="s">
        <v>550</v>
      </c>
      <c r="C437" s="347"/>
      <c r="D437" s="347"/>
      <c r="E437" s="348"/>
    </row>
    <row r="438" spans="1:9" ht="15.75">
      <c r="B438" s="68" t="s">
        <v>134</v>
      </c>
    </row>
  </sheetData>
  <sheetProtection sheet="1" objects="1" scenarios="1" formatCells="0" selectLockedCells="1"/>
  <phoneticPr fontId="16" type="noConversion"/>
  <hyperlinks>
    <hyperlink ref="B437" r:id="rId1"/>
    <hyperlink ref="B27" r:id="rId2"/>
  </hyperlinks>
  <pageMargins left="0.75" right="0.75" top="1" bottom="1" header="0.5" footer="0.5"/>
  <pageSetup orientation="portrait" horizontalDpi="300" verticalDpi="300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02"/>
  <sheetViews>
    <sheetView topLeftCell="A18" zoomScaleNormal="100" workbookViewId="0">
      <selection activeCell="H19" sqref="H19"/>
    </sheetView>
  </sheetViews>
  <sheetFormatPr defaultColWidth="9.140625" defaultRowHeight="12.75"/>
  <cols>
    <col min="1" max="1" width="5.28515625" style="15" customWidth="1"/>
    <col min="2" max="2" width="34.7109375" style="21" customWidth="1"/>
    <col min="3" max="3" width="14.28515625" style="23" customWidth="1"/>
    <col min="4" max="4" width="7.140625" style="15" customWidth="1"/>
    <col min="5" max="5" width="10" style="15" customWidth="1"/>
    <col min="6" max="6" width="8.28515625" style="15" customWidth="1"/>
    <col min="7" max="7" width="12" style="15" customWidth="1"/>
    <col min="8" max="8" width="33.5703125" style="15" customWidth="1"/>
    <col min="9" max="9" width="13.5703125" style="13" customWidth="1"/>
    <col min="10" max="10" width="13.42578125" style="14" customWidth="1"/>
    <col min="11" max="11" width="8.42578125" style="14" customWidth="1"/>
    <col min="12" max="12" width="10.7109375" style="14" customWidth="1"/>
    <col min="13" max="16384" width="9.140625" style="15"/>
  </cols>
  <sheetData>
    <row r="1" spans="1:13" ht="18">
      <c r="A1" s="23"/>
      <c r="B1" s="72" t="s">
        <v>516</v>
      </c>
      <c r="C1" s="31"/>
      <c r="D1" s="12"/>
      <c r="E1" s="12"/>
      <c r="F1" s="12"/>
      <c r="G1" s="12"/>
      <c r="H1" s="259"/>
      <c r="I1" s="259"/>
      <c r="J1" s="259"/>
      <c r="K1" s="260"/>
      <c r="L1" s="260"/>
      <c r="M1" s="261"/>
    </row>
    <row r="2" spans="1:13">
      <c r="A2" s="23"/>
      <c r="B2" s="9" t="s">
        <v>515</v>
      </c>
      <c r="H2" s="259"/>
      <c r="I2" s="262"/>
      <c r="J2" s="262"/>
      <c r="K2" s="260"/>
      <c r="L2" s="260"/>
      <c r="M2" s="261"/>
    </row>
    <row r="3" spans="1:13">
      <c r="H3" s="263"/>
      <c r="I3" s="264"/>
      <c r="J3" s="265"/>
      <c r="K3" s="265"/>
      <c r="L3" s="265"/>
      <c r="M3" s="261"/>
    </row>
    <row r="4" spans="1:13">
      <c r="B4" s="201" t="s">
        <v>394</v>
      </c>
      <c r="H4" s="263"/>
      <c r="I4" s="264"/>
      <c r="J4" s="265"/>
      <c r="K4" s="265"/>
      <c r="L4" s="265"/>
      <c r="M4" s="261"/>
    </row>
    <row r="5" spans="1:13" ht="13.5" thickBot="1">
      <c r="C5"/>
      <c r="D5"/>
      <c r="E5" s="208"/>
      <c r="F5"/>
      <c r="H5" s="263"/>
      <c r="I5" s="264"/>
      <c r="J5" s="265"/>
      <c r="K5" s="265"/>
      <c r="L5" s="265"/>
      <c r="M5" s="261"/>
    </row>
    <row r="6" spans="1:13">
      <c r="B6" s="63"/>
      <c r="C6"/>
      <c r="D6" s="192" t="s">
        <v>370</v>
      </c>
      <c r="E6" s="199" t="s">
        <v>401</v>
      </c>
      <c r="F6" s="193" t="s">
        <v>368</v>
      </c>
      <c r="H6" s="261"/>
      <c r="I6" s="278"/>
      <c r="J6" s="260"/>
      <c r="K6" s="260"/>
      <c r="L6" s="260"/>
      <c r="M6" s="261"/>
    </row>
    <row r="7" spans="1:13" ht="13.5" thickBot="1">
      <c r="B7" s="63"/>
      <c r="C7" s="128"/>
      <c r="D7" s="194" t="s">
        <v>371</v>
      </c>
      <c r="E7" s="200" t="s">
        <v>27</v>
      </c>
      <c r="F7" s="195" t="s">
        <v>13</v>
      </c>
      <c r="H7" s="261"/>
      <c r="I7" s="278"/>
      <c r="J7" s="260"/>
      <c r="K7" s="260"/>
      <c r="L7" s="260"/>
      <c r="M7" s="261"/>
    </row>
    <row r="8" spans="1:13">
      <c r="B8" s="63"/>
      <c r="C8" s="296" t="s">
        <v>340</v>
      </c>
      <c r="D8" s="279">
        <v>40</v>
      </c>
      <c r="E8" s="280">
        <v>307</v>
      </c>
      <c r="F8" s="281">
        <v>51.5</v>
      </c>
      <c r="H8" s="261"/>
      <c r="I8" s="278"/>
      <c r="J8" s="260"/>
      <c r="K8" s="260"/>
      <c r="L8" s="260"/>
      <c r="M8" s="261"/>
    </row>
    <row r="9" spans="1:13">
      <c r="B9" s="63"/>
      <c r="C9" s="297" t="s">
        <v>373</v>
      </c>
      <c r="D9" s="282">
        <v>72</v>
      </c>
      <c r="E9" s="283">
        <v>597</v>
      </c>
      <c r="F9" s="284">
        <v>97.4</v>
      </c>
      <c r="H9" s="261"/>
      <c r="I9" s="278"/>
      <c r="J9" s="260"/>
      <c r="K9" s="260"/>
      <c r="L9" s="260"/>
      <c r="M9" s="261"/>
    </row>
    <row r="10" spans="1:13">
      <c r="B10" s="63"/>
      <c r="C10" s="297" t="s">
        <v>372</v>
      </c>
      <c r="D10" s="282">
        <v>120</v>
      </c>
      <c r="E10" s="283">
        <v>1070</v>
      </c>
      <c r="F10" s="285">
        <v>163</v>
      </c>
      <c r="H10" s="261"/>
      <c r="I10" s="278"/>
      <c r="J10" s="260"/>
      <c r="K10" s="260"/>
      <c r="L10" s="260"/>
      <c r="M10" s="261"/>
    </row>
    <row r="11" spans="1:13">
      <c r="B11" s="63"/>
      <c r="C11" s="297"/>
      <c r="D11" s="282"/>
      <c r="E11" s="283"/>
      <c r="F11" s="283"/>
      <c r="H11" s="261"/>
      <c r="I11" s="278"/>
      <c r="J11" s="260"/>
      <c r="K11" s="260"/>
      <c r="L11" s="260"/>
      <c r="M11" s="261"/>
    </row>
    <row r="12" spans="1:13">
      <c r="B12" s="63"/>
      <c r="C12" s="297" t="s">
        <v>374</v>
      </c>
      <c r="D12" s="282">
        <v>61</v>
      </c>
      <c r="E12" s="283">
        <v>640</v>
      </c>
      <c r="F12" s="284">
        <v>92.1</v>
      </c>
      <c r="H12" s="261"/>
      <c r="I12" s="278"/>
      <c r="J12" s="260"/>
      <c r="K12" s="260"/>
      <c r="L12" s="260"/>
      <c r="M12" s="261"/>
    </row>
    <row r="13" spans="1:13">
      <c r="B13" s="63"/>
      <c r="C13" s="297" t="s">
        <v>376</v>
      </c>
      <c r="D13" s="282">
        <v>283</v>
      </c>
      <c r="E13" s="283">
        <v>3840</v>
      </c>
      <c r="F13" s="285">
        <v>459</v>
      </c>
      <c r="H13" s="261"/>
      <c r="I13" s="278"/>
      <c r="J13" s="260"/>
      <c r="K13" s="260"/>
      <c r="L13" s="260"/>
      <c r="M13" s="261"/>
    </row>
    <row r="14" spans="1:13">
      <c r="B14" s="63"/>
      <c r="C14" s="297" t="s">
        <v>375</v>
      </c>
      <c r="D14" s="282">
        <v>500</v>
      </c>
      <c r="E14" s="283">
        <v>8210</v>
      </c>
      <c r="F14" s="285">
        <v>838</v>
      </c>
      <c r="H14" s="261"/>
      <c r="I14" s="278"/>
      <c r="J14" s="260"/>
      <c r="K14" s="260"/>
      <c r="L14" s="260"/>
      <c r="M14" s="261"/>
    </row>
    <row r="15" spans="1:13">
      <c r="B15" s="63"/>
      <c r="C15" s="297"/>
      <c r="D15" s="282"/>
      <c r="E15" s="283"/>
      <c r="F15" s="283"/>
      <c r="H15" s="261"/>
      <c r="I15" s="278"/>
      <c r="J15" s="260"/>
      <c r="K15" s="260"/>
      <c r="L15" s="260"/>
      <c r="M15" s="261"/>
    </row>
    <row r="16" spans="1:13">
      <c r="B16" s="63"/>
      <c r="C16" s="297" t="s">
        <v>377</v>
      </c>
      <c r="D16" s="282">
        <v>50</v>
      </c>
      <c r="E16" s="283">
        <v>659</v>
      </c>
      <c r="F16" s="284">
        <v>81</v>
      </c>
      <c r="H16" s="261"/>
      <c r="I16" s="278"/>
      <c r="J16" s="260"/>
      <c r="K16" s="260"/>
      <c r="L16" s="260"/>
      <c r="M16" s="261"/>
    </row>
    <row r="17" spans="2:13">
      <c r="B17" s="63"/>
      <c r="C17" s="297" t="s">
        <v>378</v>
      </c>
      <c r="D17" s="282">
        <v>100</v>
      </c>
      <c r="E17" s="283">
        <v>1500</v>
      </c>
      <c r="F17" s="285">
        <v>177</v>
      </c>
      <c r="H17" s="261"/>
      <c r="I17" s="278"/>
      <c r="J17" s="260"/>
      <c r="K17" s="260"/>
      <c r="L17" s="260"/>
      <c r="M17" s="261"/>
    </row>
    <row r="18" spans="2:13">
      <c r="B18" s="63"/>
      <c r="C18" s="297"/>
      <c r="D18" s="282"/>
      <c r="E18" s="283"/>
      <c r="F18" s="283"/>
      <c r="H18" s="261"/>
      <c r="I18" s="278"/>
      <c r="J18" s="260"/>
      <c r="K18" s="260"/>
      <c r="L18" s="260"/>
      <c r="M18" s="261"/>
    </row>
    <row r="19" spans="2:13">
      <c r="B19" s="63"/>
      <c r="C19" s="297" t="s">
        <v>11</v>
      </c>
      <c r="D19" s="282">
        <v>60</v>
      </c>
      <c r="E19" s="283">
        <v>984</v>
      </c>
      <c r="F19" s="284">
        <v>108</v>
      </c>
      <c r="G19" s="22"/>
      <c r="H19" s="261"/>
      <c r="I19" s="278"/>
      <c r="J19" s="260"/>
      <c r="K19" s="260"/>
      <c r="L19" s="260"/>
      <c r="M19" s="261"/>
    </row>
    <row r="20" spans="2:13">
      <c r="B20" s="63"/>
      <c r="C20" s="297" t="s">
        <v>380</v>
      </c>
      <c r="D20" s="282">
        <v>158</v>
      </c>
      <c r="E20" s="283">
        <v>3060</v>
      </c>
      <c r="F20" s="285">
        <v>310</v>
      </c>
      <c r="H20" s="261"/>
      <c r="I20" s="278"/>
      <c r="J20" s="260"/>
      <c r="K20" s="260"/>
      <c r="L20" s="260"/>
      <c r="M20" s="261"/>
    </row>
    <row r="21" spans="2:13">
      <c r="B21" s="63"/>
      <c r="C21" s="297" t="s">
        <v>379</v>
      </c>
      <c r="D21" s="282">
        <v>283</v>
      </c>
      <c r="E21" s="283">
        <v>564</v>
      </c>
      <c r="F21" s="283">
        <v>6160</v>
      </c>
      <c r="H21" s="261"/>
      <c r="I21" s="278"/>
      <c r="J21" s="260"/>
      <c r="K21" s="260"/>
      <c r="L21" s="260"/>
      <c r="M21" s="261"/>
    </row>
    <row r="22" spans="2:13">
      <c r="B22" s="63"/>
      <c r="C22" s="297"/>
      <c r="D22" s="282"/>
      <c r="E22" s="283"/>
      <c r="F22" s="283"/>
      <c r="H22" s="261"/>
      <c r="I22" s="278"/>
      <c r="J22" s="260"/>
      <c r="K22" s="260"/>
      <c r="L22" s="260"/>
      <c r="M22" s="261"/>
    </row>
    <row r="23" spans="2:13">
      <c r="B23" s="63"/>
      <c r="C23" s="297" t="s">
        <v>381</v>
      </c>
      <c r="D23" s="282">
        <v>62</v>
      </c>
      <c r="E23" s="283">
        <v>1560</v>
      </c>
      <c r="F23" s="285">
        <v>132</v>
      </c>
      <c r="H23" s="261"/>
      <c r="I23" s="278"/>
      <c r="J23" s="260"/>
      <c r="K23" s="260"/>
      <c r="L23" s="260"/>
      <c r="M23" s="261"/>
    </row>
    <row r="24" spans="2:13">
      <c r="B24" s="63"/>
      <c r="C24" s="297" t="s">
        <v>383</v>
      </c>
      <c r="D24" s="282">
        <v>250</v>
      </c>
      <c r="E24" s="283">
        <v>8490</v>
      </c>
      <c r="F24" s="285">
        <v>644</v>
      </c>
      <c r="H24" s="261"/>
      <c r="I24" s="278"/>
      <c r="J24" s="260"/>
      <c r="K24" s="260"/>
      <c r="L24" s="260"/>
      <c r="M24" s="261"/>
    </row>
    <row r="25" spans="2:13" ht="13.5" thickBot="1">
      <c r="B25" s="63"/>
      <c r="C25" s="298" t="s">
        <v>382</v>
      </c>
      <c r="D25" s="286">
        <v>450</v>
      </c>
      <c r="E25" s="287">
        <v>17100</v>
      </c>
      <c r="F25" s="287">
        <v>1170</v>
      </c>
      <c r="H25" s="261"/>
      <c r="I25" s="278"/>
      <c r="J25" s="260"/>
      <c r="K25" s="260"/>
      <c r="L25" s="260"/>
      <c r="M25" s="261"/>
    </row>
    <row r="26" spans="2:13">
      <c r="H26" s="261"/>
      <c r="I26" s="278"/>
      <c r="J26" s="260"/>
      <c r="K26" s="260"/>
      <c r="L26" s="260"/>
      <c r="M26" s="261"/>
    </row>
    <row r="27" spans="2:13">
      <c r="H27" s="266"/>
      <c r="I27" s="264"/>
      <c r="J27" s="265"/>
      <c r="K27" s="265"/>
      <c r="L27" s="265"/>
      <c r="M27" s="261"/>
    </row>
    <row r="28" spans="2:13">
      <c r="H28" s="263"/>
      <c r="I28" s="264"/>
      <c r="J28" s="265"/>
      <c r="K28" s="265"/>
      <c r="L28" s="265"/>
      <c r="M28" s="261"/>
    </row>
    <row r="29" spans="2:13" ht="15.75">
      <c r="B29" s="103" t="s">
        <v>330</v>
      </c>
      <c r="H29" s="263"/>
      <c r="I29" s="264"/>
      <c r="J29" s="265"/>
      <c r="K29" s="265"/>
      <c r="L29" s="265"/>
      <c r="M29" s="261"/>
    </row>
    <row r="30" spans="2:13">
      <c r="B30" s="35" t="s">
        <v>74</v>
      </c>
      <c r="H30" s="267"/>
      <c r="I30" s="268"/>
      <c r="J30" s="266"/>
      <c r="K30" s="265"/>
      <c r="L30" s="265"/>
      <c r="M30" s="261"/>
    </row>
    <row r="31" spans="2:13">
      <c r="H31" s="269"/>
      <c r="I31" s="270"/>
      <c r="J31" s="263"/>
      <c r="K31" s="265"/>
      <c r="L31" s="265"/>
      <c r="M31" s="261"/>
    </row>
    <row r="32" spans="2:13">
      <c r="H32" s="269"/>
      <c r="I32" s="270"/>
      <c r="J32" s="263"/>
      <c r="K32" s="263"/>
      <c r="L32" s="263"/>
      <c r="M32" s="261"/>
    </row>
    <row r="33" spans="5:16">
      <c r="F33" s="9"/>
      <c r="H33" s="269"/>
      <c r="I33" s="270"/>
      <c r="J33" s="263"/>
      <c r="K33" s="263"/>
      <c r="L33" s="263"/>
      <c r="M33" s="261"/>
    </row>
    <row r="34" spans="5:16">
      <c r="E34" s="102"/>
      <c r="H34" s="269"/>
      <c r="I34" s="270"/>
      <c r="J34" s="263"/>
      <c r="K34" s="263"/>
      <c r="L34" s="263"/>
      <c r="M34" s="261"/>
    </row>
    <row r="35" spans="5:16">
      <c r="H35" s="269"/>
      <c r="I35" s="270"/>
      <c r="J35" s="263"/>
      <c r="K35" s="263"/>
      <c r="L35" s="265"/>
      <c r="M35" s="261"/>
    </row>
    <row r="36" spans="5:16">
      <c r="H36" s="269"/>
      <c r="I36" s="270"/>
      <c r="J36" s="263"/>
      <c r="K36" s="263"/>
      <c r="L36" s="263"/>
      <c r="M36" s="261"/>
      <c r="P36" s="47"/>
    </row>
    <row r="37" spans="5:16">
      <c r="H37" s="269"/>
      <c r="I37" s="270"/>
      <c r="J37" s="263"/>
      <c r="K37" s="263"/>
      <c r="L37" s="263"/>
      <c r="M37" s="261"/>
      <c r="P37" s="48"/>
    </row>
    <row r="38" spans="5:16">
      <c r="H38" s="261"/>
      <c r="I38" s="278"/>
      <c r="J38" s="261"/>
      <c r="K38" s="263"/>
      <c r="L38" s="263"/>
      <c r="M38" s="261"/>
      <c r="P38" s="48"/>
    </row>
    <row r="39" spans="5:16">
      <c r="H39" s="261"/>
      <c r="I39" s="278"/>
      <c r="J39" s="263"/>
      <c r="K39" s="263"/>
      <c r="L39" s="263"/>
      <c r="M39" s="261"/>
      <c r="P39" s="48"/>
    </row>
    <row r="40" spans="5:16">
      <c r="H40" s="269"/>
      <c r="I40" s="270"/>
      <c r="J40" s="263"/>
      <c r="K40" s="263"/>
      <c r="L40" s="263"/>
      <c r="M40" s="261"/>
      <c r="P40" s="48"/>
    </row>
    <row r="41" spans="5:16">
      <c r="H41" s="269"/>
      <c r="I41" s="278"/>
      <c r="J41" s="266"/>
      <c r="K41" s="263"/>
      <c r="L41" s="263"/>
      <c r="M41" s="261"/>
      <c r="P41" s="49"/>
    </row>
    <row r="42" spans="5:16">
      <c r="H42" s="261"/>
      <c r="I42" s="270"/>
      <c r="J42" s="263"/>
      <c r="K42" s="263"/>
      <c r="L42" s="263"/>
      <c r="M42" s="261"/>
    </row>
    <row r="43" spans="5:16">
      <c r="H43" s="271"/>
      <c r="I43" s="270"/>
      <c r="J43" s="263"/>
      <c r="K43" s="266"/>
      <c r="L43" s="266"/>
      <c r="M43" s="261"/>
    </row>
    <row r="44" spans="5:16">
      <c r="H44" s="269"/>
      <c r="I44" s="270"/>
      <c r="J44" s="263"/>
      <c r="K44" s="263"/>
      <c r="L44" s="263"/>
      <c r="M44" s="261"/>
    </row>
    <row r="45" spans="5:16">
      <c r="H45" s="269"/>
      <c r="I45" s="270"/>
      <c r="J45" s="263"/>
      <c r="K45" s="263"/>
      <c r="L45" s="263"/>
      <c r="M45" s="261"/>
    </row>
    <row r="46" spans="5:16">
      <c r="G46" s="16"/>
      <c r="H46" s="269"/>
      <c r="I46" s="270"/>
      <c r="J46" s="263"/>
      <c r="K46" s="263"/>
      <c r="L46" s="263"/>
      <c r="M46" s="261"/>
    </row>
    <row r="47" spans="5:16">
      <c r="H47" s="271"/>
      <c r="I47" s="270"/>
      <c r="J47" s="263"/>
      <c r="K47" s="263"/>
      <c r="L47" s="263"/>
      <c r="M47" s="261"/>
    </row>
    <row r="48" spans="5:16">
      <c r="H48" s="269"/>
      <c r="I48" s="270"/>
      <c r="J48" s="263"/>
      <c r="K48" s="263"/>
      <c r="L48" s="263"/>
      <c r="M48" s="261"/>
    </row>
    <row r="49" spans="1:13">
      <c r="H49" s="269"/>
      <c r="I49" s="270"/>
      <c r="J49" s="263"/>
      <c r="K49" s="263"/>
      <c r="L49" s="263"/>
      <c r="M49" s="261"/>
    </row>
    <row r="50" spans="1:13">
      <c r="F50" s="14"/>
      <c r="H50" s="269"/>
      <c r="I50" s="162"/>
      <c r="J50" s="263"/>
      <c r="K50" s="263"/>
      <c r="L50" s="263"/>
      <c r="M50" s="261"/>
    </row>
    <row r="51" spans="1:13">
      <c r="H51" s="271"/>
      <c r="I51" s="162"/>
      <c r="J51" s="263"/>
      <c r="K51" s="263"/>
      <c r="L51" s="263"/>
      <c r="M51" s="261"/>
    </row>
    <row r="52" spans="1:13">
      <c r="H52" s="269"/>
      <c r="I52" s="162"/>
      <c r="J52" s="263"/>
      <c r="K52" s="263"/>
      <c r="L52" s="263"/>
      <c r="M52" s="261"/>
    </row>
    <row r="53" spans="1:13">
      <c r="H53" s="269"/>
      <c r="I53" s="162"/>
      <c r="J53" s="270"/>
      <c r="K53" s="263"/>
      <c r="L53" s="263"/>
      <c r="M53" s="261"/>
    </row>
    <row r="54" spans="1:13">
      <c r="G54" s="16"/>
      <c r="H54" s="263"/>
      <c r="I54" s="162"/>
      <c r="J54" s="263"/>
      <c r="K54" s="263"/>
      <c r="L54" s="263"/>
      <c r="M54" s="261"/>
    </row>
    <row r="55" spans="1:13">
      <c r="H55" s="269"/>
      <c r="I55" s="162"/>
      <c r="J55" s="263"/>
      <c r="K55" s="263"/>
      <c r="L55" s="263"/>
      <c r="M55" s="261"/>
    </row>
    <row r="56" spans="1:13" ht="13.5" thickBot="1">
      <c r="H56" s="269"/>
      <c r="I56" s="162"/>
      <c r="J56" s="265"/>
      <c r="K56" s="263"/>
      <c r="L56" s="265"/>
      <c r="M56" s="261"/>
    </row>
    <row r="57" spans="1:13" ht="13.5" thickBot="1">
      <c r="B57" s="35" t="s">
        <v>317</v>
      </c>
      <c r="C57" s="32" t="s">
        <v>10</v>
      </c>
      <c r="D57" s="20"/>
      <c r="E57" s="17" t="s">
        <v>42</v>
      </c>
      <c r="F57" s="183">
        <v>10</v>
      </c>
      <c r="H57" s="312"/>
      <c r="I57" s="162"/>
      <c r="J57" s="270"/>
      <c r="K57" s="263"/>
      <c r="L57" s="263"/>
      <c r="M57" s="261"/>
    </row>
    <row r="58" spans="1:13" ht="13.5" thickBot="1">
      <c r="B58" s="21" t="s">
        <v>32</v>
      </c>
      <c r="C58" s="52">
        <v>10000</v>
      </c>
      <c r="D58" s="15" t="s">
        <v>16</v>
      </c>
      <c r="E58" s="71" t="s">
        <v>43</v>
      </c>
      <c r="F58" s="18" t="s">
        <v>44</v>
      </c>
      <c r="H58" s="190"/>
      <c r="I58" s="22"/>
      <c r="J58" s="263"/>
      <c r="K58" s="263"/>
      <c r="L58" s="263"/>
      <c r="M58" s="261"/>
    </row>
    <row r="59" spans="1:13" ht="13.5" thickBot="1">
      <c r="B59" s="21" t="s">
        <v>60</v>
      </c>
      <c r="C59" s="53">
        <v>100</v>
      </c>
      <c r="D59" s="15" t="s">
        <v>20</v>
      </c>
      <c r="E59" s="70" t="s">
        <v>6</v>
      </c>
      <c r="F59" s="18">
        <f>F57*12</f>
        <v>120</v>
      </c>
      <c r="H59" s="190"/>
      <c r="I59" s="22"/>
      <c r="J59" s="263"/>
      <c r="K59" s="270"/>
      <c r="L59" s="263"/>
      <c r="M59" s="261"/>
    </row>
    <row r="60" spans="1:13">
      <c r="B60" s="21" t="s">
        <v>160</v>
      </c>
      <c r="C60" s="53">
        <v>20</v>
      </c>
      <c r="D60" s="15" t="s">
        <v>17</v>
      </c>
      <c r="H60" s="190"/>
      <c r="I60" s="22"/>
      <c r="J60" s="263"/>
      <c r="K60" s="263"/>
      <c r="L60" s="263"/>
      <c r="M60" s="261"/>
    </row>
    <row r="61" spans="1:13">
      <c r="A61" s="15" t="s">
        <v>22</v>
      </c>
      <c r="B61" s="39" t="s">
        <v>397</v>
      </c>
      <c r="C61" s="53">
        <v>120</v>
      </c>
      <c r="D61" s="15" t="s">
        <v>39</v>
      </c>
      <c r="H61" s="190"/>
      <c r="I61" s="22"/>
      <c r="J61" s="263"/>
      <c r="K61" s="265"/>
      <c r="L61" s="265"/>
      <c r="M61" s="261"/>
    </row>
    <row r="62" spans="1:13">
      <c r="B62" s="21" t="s">
        <v>38</v>
      </c>
      <c r="C62" s="53" t="s">
        <v>373</v>
      </c>
      <c r="D62" s="15" t="s">
        <v>22</v>
      </c>
      <c r="H62" s="190"/>
      <c r="I62" s="22"/>
      <c r="J62" s="272"/>
      <c r="K62" s="265"/>
      <c r="L62" s="265"/>
      <c r="M62" s="261"/>
    </row>
    <row r="63" spans="1:13">
      <c r="B63" s="21" t="s">
        <v>31</v>
      </c>
      <c r="C63" s="53">
        <v>72</v>
      </c>
      <c r="D63" s="15" t="s">
        <v>55</v>
      </c>
      <c r="H63" s="190"/>
      <c r="I63" s="22"/>
      <c r="J63" s="162"/>
      <c r="K63" s="265"/>
      <c r="L63" s="265"/>
      <c r="M63" s="261"/>
    </row>
    <row r="64" spans="1:13">
      <c r="B64" s="21" t="s">
        <v>12</v>
      </c>
      <c r="C64" s="258">
        <v>97.4</v>
      </c>
      <c r="D64" s="24" t="s">
        <v>13</v>
      </c>
      <c r="H64" s="190"/>
      <c r="I64" s="142"/>
      <c r="J64" s="265"/>
      <c r="K64" s="265"/>
      <c r="L64" s="265"/>
      <c r="M64" s="261"/>
    </row>
    <row r="65" spans="2:15">
      <c r="B65" s="21" t="s">
        <v>175</v>
      </c>
      <c r="C65" s="53">
        <v>597</v>
      </c>
      <c r="D65" s="15" t="s">
        <v>27</v>
      </c>
      <c r="H65" s="190"/>
      <c r="I65" s="22"/>
      <c r="J65" s="162"/>
      <c r="K65" s="265"/>
      <c r="L65" s="265"/>
      <c r="M65" s="261"/>
    </row>
    <row r="66" spans="2:15">
      <c r="B66" s="21" t="s">
        <v>28</v>
      </c>
      <c r="C66" s="53">
        <v>29000000</v>
      </c>
      <c r="D66" s="15" t="s">
        <v>15</v>
      </c>
      <c r="H66" s="190"/>
      <c r="I66" s="22"/>
      <c r="J66" s="265"/>
      <c r="K66" s="265"/>
      <c r="L66" s="265"/>
      <c r="M66" s="261"/>
    </row>
    <row r="67" spans="2:15" ht="13.5" thickBot="1">
      <c r="B67" s="21" t="s">
        <v>14</v>
      </c>
      <c r="C67" s="54">
        <v>22000</v>
      </c>
      <c r="D67" s="15" t="s">
        <v>15</v>
      </c>
      <c r="H67" s="190"/>
      <c r="I67" s="22"/>
      <c r="J67" s="162"/>
      <c r="K67" s="265"/>
      <c r="L67" s="265"/>
      <c r="M67" s="261"/>
      <c r="N67" s="14"/>
      <c r="O67" s="47"/>
    </row>
    <row r="68" spans="2:15">
      <c r="C68" s="32" t="s">
        <v>114</v>
      </c>
      <c r="D68" s="16"/>
      <c r="E68" s="16"/>
      <c r="F68" s="16"/>
      <c r="H68" s="269"/>
      <c r="I68" s="270"/>
      <c r="J68" s="162"/>
      <c r="K68" s="265"/>
      <c r="L68" s="265"/>
      <c r="M68" s="261"/>
      <c r="N68" s="48"/>
      <c r="O68" s="48"/>
    </row>
    <row r="69" spans="2:15">
      <c r="B69" s="21" t="s">
        <v>161</v>
      </c>
      <c r="C69" s="23" t="s">
        <v>162</v>
      </c>
      <c r="H69" s="269"/>
      <c r="I69" s="264"/>
      <c r="J69" s="265"/>
      <c r="K69" s="263"/>
      <c r="L69" s="263"/>
      <c r="M69" s="261"/>
      <c r="N69" s="48"/>
      <c r="O69" s="48"/>
    </row>
    <row r="70" spans="2:15">
      <c r="B70" s="19" t="s">
        <v>6</v>
      </c>
      <c r="C70" s="25">
        <f>12*C60</f>
        <v>240</v>
      </c>
      <c r="D70" s="15" t="s">
        <v>20</v>
      </c>
      <c r="H70" s="269"/>
      <c r="I70" s="270"/>
      <c r="J70" s="263"/>
      <c r="K70" s="270"/>
      <c r="L70" s="263"/>
      <c r="M70" s="261"/>
      <c r="N70" s="48"/>
      <c r="O70" s="48"/>
    </row>
    <row r="71" spans="2:15">
      <c r="B71" s="36" t="s">
        <v>61</v>
      </c>
      <c r="C71" s="23" t="s">
        <v>195</v>
      </c>
      <c r="H71" s="269"/>
      <c r="I71" s="270"/>
      <c r="J71" s="263"/>
      <c r="K71" s="263"/>
      <c r="L71" s="263"/>
      <c r="M71" s="261"/>
      <c r="N71" s="48"/>
      <c r="O71" s="48"/>
    </row>
    <row r="72" spans="2:15">
      <c r="C72" s="25">
        <f>C70-C59</f>
        <v>140</v>
      </c>
      <c r="D72" s="15" t="s">
        <v>20</v>
      </c>
      <c r="H72" s="269"/>
      <c r="I72" s="270"/>
      <c r="J72" s="263"/>
      <c r="K72" s="270"/>
      <c r="L72" s="263"/>
      <c r="M72" s="261"/>
      <c r="N72" s="49"/>
      <c r="O72" s="49"/>
    </row>
    <row r="73" spans="2:15" ht="15.75">
      <c r="B73" s="21" t="s">
        <v>224</v>
      </c>
      <c r="C73" s="23" t="s">
        <v>196</v>
      </c>
      <c r="H73" s="267"/>
      <c r="I73" s="268"/>
      <c r="J73" s="263"/>
      <c r="K73" s="263"/>
      <c r="L73" s="263"/>
      <c r="M73" s="261"/>
    </row>
    <row r="74" spans="2:15">
      <c r="B74" s="19" t="s">
        <v>6</v>
      </c>
      <c r="C74" s="25">
        <f>C58*C72 / C70</f>
        <v>5833.333333333333</v>
      </c>
      <c r="D74" s="15" t="s">
        <v>16</v>
      </c>
      <c r="H74" s="269"/>
      <c r="I74" s="270"/>
      <c r="J74" s="263"/>
      <c r="K74" s="263"/>
      <c r="L74" s="263"/>
      <c r="M74" s="261"/>
      <c r="N74" s="50"/>
    </row>
    <row r="75" spans="2:15" ht="15.75">
      <c r="B75" s="21" t="s">
        <v>225</v>
      </c>
      <c r="C75" s="37" t="s">
        <v>149</v>
      </c>
      <c r="H75" s="269"/>
      <c r="I75" s="270"/>
      <c r="J75" s="263"/>
      <c r="K75" s="263"/>
      <c r="L75" s="263"/>
      <c r="M75" s="261"/>
    </row>
    <row r="76" spans="2:15">
      <c r="B76" s="21" t="s">
        <v>6</v>
      </c>
      <c r="C76" s="25">
        <f>-(C58-C74)</f>
        <v>-4166.666666666667</v>
      </c>
      <c r="D76" s="15" t="s">
        <v>16</v>
      </c>
      <c r="H76" s="269"/>
      <c r="I76" s="270"/>
      <c r="J76" s="263"/>
      <c r="K76" s="263"/>
      <c r="L76" s="263"/>
      <c r="M76" s="261"/>
    </row>
    <row r="77" spans="2:15">
      <c r="B77" s="21" t="s">
        <v>319</v>
      </c>
      <c r="C77" s="23" t="s">
        <v>159</v>
      </c>
      <c r="F77" s="23"/>
      <c r="H77" s="269"/>
      <c r="I77" s="270"/>
      <c r="J77" s="263"/>
      <c r="K77" s="270"/>
      <c r="L77" s="263"/>
      <c r="M77" s="261"/>
    </row>
    <row r="78" spans="2:15">
      <c r="B78" s="19" t="s">
        <v>6</v>
      </c>
      <c r="C78" s="25">
        <f>C58*C59*C72 /C70</f>
        <v>583333.33333333337</v>
      </c>
      <c r="D78" s="15" t="s">
        <v>21</v>
      </c>
      <c r="F78" s="25"/>
      <c r="H78" s="267"/>
      <c r="I78" s="268"/>
      <c r="J78" s="263"/>
      <c r="K78" s="263"/>
      <c r="L78" s="263"/>
      <c r="M78" s="261"/>
    </row>
    <row r="79" spans="2:15" ht="16.5" thickBot="1">
      <c r="B79" s="21" t="s">
        <v>395</v>
      </c>
      <c r="C79" s="23" t="s">
        <v>396</v>
      </c>
      <c r="D79" s="24"/>
      <c r="E79" s="24"/>
      <c r="F79" s="77"/>
      <c r="H79" s="273"/>
      <c r="I79" s="270"/>
      <c r="J79" s="265"/>
      <c r="K79" s="270"/>
      <c r="L79" s="263"/>
      <c r="M79" s="261"/>
    </row>
    <row r="80" spans="2:15" ht="13.5" thickBot="1">
      <c r="B80" s="44" t="s">
        <v>6</v>
      </c>
      <c r="C80" s="25">
        <f>C74*C61 - C58*(C61 - C59)</f>
        <v>500000</v>
      </c>
      <c r="D80" s="15" t="s">
        <v>21</v>
      </c>
      <c r="E80" s="123" t="str">
        <f>IF(C61&gt;C59,"x &gt; a, OK","x &gt; a Not OK")</f>
        <v>x &gt; a, OK</v>
      </c>
      <c r="F80" s="24"/>
      <c r="H80" s="274"/>
      <c r="I80" s="275"/>
      <c r="J80" s="265"/>
      <c r="K80" s="265"/>
      <c r="L80" s="276"/>
      <c r="M80" s="261"/>
    </row>
    <row r="81" spans="2:13">
      <c r="H81" s="273"/>
      <c r="I81" s="270"/>
      <c r="J81" s="265"/>
      <c r="K81" s="263"/>
      <c r="L81" s="263"/>
      <c r="M81" s="261"/>
    </row>
    <row r="82" spans="2:13">
      <c r="B82" s="58"/>
      <c r="C82" s="33"/>
      <c r="D82" s="28"/>
      <c r="E82" s="33"/>
      <c r="F82" s="33"/>
      <c r="H82" s="274"/>
      <c r="I82" s="275"/>
      <c r="J82" s="265"/>
      <c r="K82" s="265"/>
      <c r="L82" s="276"/>
      <c r="M82" s="261"/>
    </row>
    <row r="83" spans="2:13">
      <c r="H83" s="269"/>
      <c r="I83" s="270"/>
      <c r="J83" s="263"/>
      <c r="K83" s="263"/>
      <c r="L83" s="263"/>
      <c r="M83" s="261"/>
    </row>
    <row r="84" spans="2:13">
      <c r="B84" s="35" t="s">
        <v>398</v>
      </c>
      <c r="C84" s="32" t="s">
        <v>114</v>
      </c>
      <c r="H84" s="269"/>
      <c r="I84" s="270"/>
      <c r="J84" s="263"/>
      <c r="K84" s="270"/>
      <c r="L84" s="263"/>
      <c r="M84" s="261"/>
    </row>
    <row r="85" spans="2:13" ht="15.75">
      <c r="B85" s="21" t="s">
        <v>67</v>
      </c>
      <c r="C85" s="23" t="s">
        <v>197</v>
      </c>
      <c r="H85" s="263"/>
      <c r="I85" s="264"/>
      <c r="J85" s="265"/>
      <c r="K85" s="265"/>
      <c r="L85" s="265"/>
      <c r="M85" s="261"/>
    </row>
    <row r="86" spans="2:13">
      <c r="B86" s="56" t="s">
        <v>6</v>
      </c>
      <c r="C86" s="38">
        <f>(0.06415*C58*C72/(C66*C65*C70))*((C70^2 - C72^2)^1.5)</f>
        <v>0.16010928591269144</v>
      </c>
      <c r="D86" s="23" t="s">
        <v>20</v>
      </c>
      <c r="H86" s="263"/>
      <c r="I86" s="264"/>
      <c r="J86" s="265"/>
      <c r="K86" s="265"/>
      <c r="L86" s="265"/>
      <c r="M86" s="261"/>
    </row>
    <row r="87" spans="2:13">
      <c r="B87" s="21" t="s">
        <v>322</v>
      </c>
      <c r="C87" s="23" t="s">
        <v>198</v>
      </c>
      <c r="D87" s="14"/>
      <c r="H87" s="263"/>
      <c r="I87" s="264"/>
      <c r="J87" s="265"/>
      <c r="K87" s="265"/>
      <c r="L87" s="265"/>
      <c r="M87" s="261"/>
    </row>
    <row r="88" spans="2:13">
      <c r="B88" s="56" t="s">
        <v>6</v>
      </c>
      <c r="C88" s="38">
        <f>(C59*(C70 + C72) / 3)^0.5</f>
        <v>112.54628677422754</v>
      </c>
      <c r="D88" s="23" t="s">
        <v>20</v>
      </c>
      <c r="H88" s="263"/>
      <c r="I88" s="264"/>
      <c r="J88" s="265"/>
      <c r="K88" s="265"/>
      <c r="L88" s="265"/>
      <c r="M88" s="261"/>
    </row>
    <row r="89" spans="2:13">
      <c r="H89" s="263"/>
      <c r="I89" s="264"/>
      <c r="J89" s="265"/>
      <c r="K89" s="265"/>
      <c r="L89" s="265"/>
      <c r="M89" s="261"/>
    </row>
    <row r="90" spans="2:13">
      <c r="B90" s="58"/>
      <c r="C90" s="33"/>
      <c r="D90" s="28"/>
      <c r="E90" s="33"/>
      <c r="F90" s="33"/>
      <c r="H90" s="263"/>
      <c r="I90" s="264"/>
      <c r="J90" s="265"/>
      <c r="K90" s="265"/>
      <c r="L90" s="265"/>
      <c r="M90" s="261"/>
    </row>
    <row r="91" spans="2:13">
      <c r="H91" s="263"/>
      <c r="I91" s="264"/>
      <c r="J91" s="265"/>
      <c r="K91" s="265"/>
      <c r="L91" s="265"/>
      <c r="M91" s="261"/>
    </row>
    <row r="92" spans="2:13">
      <c r="B92" s="57" t="s">
        <v>72</v>
      </c>
      <c r="C92" s="32" t="s">
        <v>114</v>
      </c>
      <c r="H92" s="263"/>
      <c r="I92" s="264"/>
      <c r="J92" s="265"/>
      <c r="K92" s="265"/>
      <c r="L92" s="265"/>
      <c r="M92" s="261"/>
    </row>
    <row r="93" spans="2:13">
      <c r="B93" s="21" t="s">
        <v>75</v>
      </c>
      <c r="C93" s="23" t="s">
        <v>199</v>
      </c>
      <c r="H93" s="263"/>
      <c r="I93" s="264"/>
      <c r="J93" s="265"/>
      <c r="K93" s="265"/>
      <c r="L93" s="265"/>
      <c r="M93" s="261"/>
    </row>
    <row r="94" spans="2:13">
      <c r="B94" s="21" t="s">
        <v>6</v>
      </c>
      <c r="C94" s="38">
        <f>(C58*C72/(6*C66*C65*C70))*((C70^2*C61-C72^2*C61-C61^3))</f>
        <v>0.15903271144997017</v>
      </c>
      <c r="D94" s="15" t="s">
        <v>20</v>
      </c>
      <c r="H94" s="267"/>
      <c r="I94" s="268"/>
      <c r="J94" s="265"/>
      <c r="K94" s="263"/>
      <c r="L94" s="263"/>
      <c r="M94" s="261"/>
    </row>
    <row r="95" spans="2:13">
      <c r="H95" s="269"/>
      <c r="I95" s="270"/>
      <c r="J95" s="263"/>
      <c r="K95" s="263"/>
      <c r="L95" s="263"/>
      <c r="M95" s="277"/>
    </row>
    <row r="96" spans="2:13">
      <c r="B96" s="58"/>
      <c r="C96" s="33"/>
      <c r="D96" s="28"/>
      <c r="E96" s="33"/>
      <c r="F96" s="33"/>
      <c r="H96" s="269"/>
      <c r="I96" s="270"/>
      <c r="J96" s="263"/>
      <c r="K96" s="263"/>
      <c r="L96" s="263"/>
      <c r="M96" s="261"/>
    </row>
    <row r="97" spans="2:13">
      <c r="H97" s="269"/>
      <c r="I97" s="270"/>
      <c r="J97" s="263"/>
      <c r="K97" s="263"/>
      <c r="L97" s="265"/>
      <c r="M97" s="261"/>
    </row>
    <row r="98" spans="2:13">
      <c r="B98" s="57" t="s">
        <v>71</v>
      </c>
      <c r="C98" s="32" t="s">
        <v>114</v>
      </c>
      <c r="H98" s="269"/>
      <c r="I98" s="270"/>
      <c r="J98" s="263"/>
      <c r="K98" s="263"/>
      <c r="L98" s="263"/>
      <c r="M98" s="261"/>
    </row>
    <row r="99" spans="2:13">
      <c r="B99" s="39" t="s">
        <v>185</v>
      </c>
      <c r="C99" s="23" t="s">
        <v>68</v>
      </c>
      <c r="D99" s="14"/>
      <c r="E99" s="42"/>
      <c r="F99" s="41"/>
      <c r="H99" s="269"/>
      <c r="I99" s="270"/>
      <c r="J99" s="263"/>
      <c r="K99" s="263"/>
      <c r="L99" s="263"/>
      <c r="M99" s="261"/>
    </row>
    <row r="100" spans="2:13">
      <c r="B100" s="56" t="s">
        <v>6</v>
      </c>
      <c r="C100" s="37">
        <f>-(($C$58*$C$59*$C$72)*(1 +$C$72/$C$70))/(6*$C$66*$C$65)</f>
        <v>-2.1339135010942324E-3</v>
      </c>
      <c r="D100" s="14" t="s">
        <v>69</v>
      </c>
      <c r="E100" s="62">
        <f>C100*57.3</f>
        <v>-0.12227324361269951</v>
      </c>
      <c r="F100" t="s">
        <v>9</v>
      </c>
      <c r="H100" s="269"/>
      <c r="I100" s="270"/>
      <c r="J100" s="263"/>
      <c r="K100" s="263"/>
      <c r="L100" s="263"/>
      <c r="M100" s="261"/>
    </row>
    <row r="101" spans="2:13">
      <c r="B101" s="39" t="s">
        <v>184</v>
      </c>
      <c r="C101" s="23" t="s">
        <v>200</v>
      </c>
      <c r="D101" s="14"/>
      <c r="H101" s="269"/>
      <c r="I101" s="270"/>
      <c r="J101" s="263"/>
      <c r="K101" s="263"/>
      <c r="L101" s="263"/>
      <c r="M101" s="261"/>
    </row>
    <row r="102" spans="2:13">
      <c r="B102" s="56" t="s">
        <v>6</v>
      </c>
      <c r="C102" s="37">
        <f>(($C$58*$C$59*$C$72)*(1 +$C$59/$C$70))/(6*$C$66*$C$65)</f>
        <v>1.9092910272948396E-3</v>
      </c>
      <c r="D102" s="14" t="s">
        <v>69</v>
      </c>
      <c r="E102" s="62">
        <f>C102*57.3</f>
        <v>0.1094023758639943</v>
      </c>
      <c r="F102" t="s">
        <v>9</v>
      </c>
      <c r="H102" s="156"/>
      <c r="I102" s="95"/>
      <c r="J102" s="150"/>
      <c r="K102" s="150"/>
      <c r="L102" s="150"/>
      <c r="M102" s="65"/>
    </row>
    <row r="103" spans="2:13">
      <c r="H103" s="156"/>
      <c r="I103" s="155"/>
      <c r="J103" s="153"/>
      <c r="K103" s="153"/>
      <c r="L103" s="150"/>
      <c r="M103" s="65"/>
    </row>
    <row r="104" spans="2:13">
      <c r="B104" s="58"/>
      <c r="C104" s="33"/>
      <c r="D104" s="28"/>
      <c r="E104" s="33"/>
      <c r="F104" s="33"/>
      <c r="H104" s="156"/>
      <c r="I104" s="95"/>
      <c r="J104" s="150"/>
      <c r="K104" s="150"/>
      <c r="L104" s="150"/>
      <c r="M104" s="65"/>
    </row>
    <row r="105" spans="2:13">
      <c r="H105" s="157"/>
      <c r="I105" s="158"/>
      <c r="J105" s="150"/>
      <c r="K105" s="150"/>
      <c r="L105" s="153"/>
      <c r="M105" s="65"/>
    </row>
    <row r="106" spans="2:13" ht="15.75">
      <c r="B106" s="103" t="s">
        <v>399</v>
      </c>
      <c r="H106" s="156"/>
      <c r="I106" s="95"/>
      <c r="J106" s="150"/>
      <c r="K106" s="150"/>
      <c r="L106" s="150"/>
      <c r="M106" s="65"/>
    </row>
    <row r="107" spans="2:13">
      <c r="B107" s="35" t="s">
        <v>74</v>
      </c>
      <c r="H107" s="157"/>
      <c r="I107" s="158"/>
      <c r="J107" s="150"/>
      <c r="K107" s="150"/>
      <c r="L107" s="150"/>
      <c r="M107" s="150"/>
    </row>
    <row r="108" spans="2:13">
      <c r="H108" s="156"/>
      <c r="I108" s="95"/>
      <c r="J108" s="150"/>
      <c r="K108" s="150"/>
      <c r="L108" s="150"/>
      <c r="M108" s="150"/>
    </row>
    <row r="109" spans="2:13">
      <c r="H109" s="156"/>
      <c r="I109" s="158"/>
      <c r="J109" s="150"/>
      <c r="K109" s="150"/>
      <c r="L109" s="150"/>
      <c r="M109" s="150"/>
    </row>
    <row r="110" spans="2:13">
      <c r="E110" s="102"/>
      <c r="H110" s="156"/>
      <c r="I110" s="159"/>
      <c r="J110" s="150"/>
      <c r="K110" s="150"/>
      <c r="L110" s="150"/>
      <c r="M110" s="150"/>
    </row>
    <row r="111" spans="2:13">
      <c r="H111" s="157"/>
      <c r="I111" s="159"/>
      <c r="J111" s="150"/>
      <c r="K111" s="150"/>
      <c r="L111" s="150"/>
      <c r="M111" s="150"/>
    </row>
    <row r="112" spans="2:13">
      <c r="G112" s="16"/>
      <c r="H112" s="156"/>
      <c r="I112" s="159"/>
      <c r="J112" s="150"/>
      <c r="K112" s="150"/>
      <c r="L112" s="150"/>
      <c r="M112" s="150"/>
    </row>
    <row r="113" spans="3:13">
      <c r="H113" s="156"/>
      <c r="I113" s="159"/>
      <c r="J113" s="95"/>
      <c r="K113" s="150"/>
      <c r="L113" s="150"/>
      <c r="M113" s="150"/>
    </row>
    <row r="114" spans="3:13">
      <c r="H114" s="65"/>
      <c r="I114" s="164"/>
      <c r="J114" s="149"/>
      <c r="K114" s="65"/>
      <c r="L114" s="150"/>
      <c r="M114" s="150"/>
    </row>
    <row r="115" spans="3:13">
      <c r="H115" s="152"/>
      <c r="I115" s="159"/>
      <c r="J115" s="150"/>
      <c r="K115" s="150"/>
      <c r="L115" s="150"/>
      <c r="M115" s="150"/>
    </row>
    <row r="116" spans="3:13">
      <c r="H116" s="156"/>
      <c r="I116" s="159"/>
      <c r="J116" s="152"/>
      <c r="K116" s="150"/>
      <c r="L116" s="150"/>
      <c r="M116" s="150"/>
    </row>
    <row r="117" spans="3:13">
      <c r="H117" s="156"/>
      <c r="I117" s="160"/>
      <c r="J117" s="150"/>
      <c r="K117" s="150"/>
      <c r="L117" s="150"/>
      <c r="M117" s="150"/>
    </row>
    <row r="118" spans="3:13">
      <c r="H118" s="150"/>
      <c r="I118" s="160"/>
      <c r="J118" s="152"/>
      <c r="K118" s="152"/>
      <c r="L118" s="150"/>
      <c r="M118" s="150"/>
    </row>
    <row r="119" spans="3:13">
      <c r="C119" s="22"/>
      <c r="H119" s="150"/>
      <c r="I119" s="151"/>
      <c r="J119" s="152"/>
      <c r="K119" s="152"/>
      <c r="L119" s="150"/>
      <c r="M119" s="150"/>
    </row>
    <row r="120" spans="3:13">
      <c r="H120" s="156"/>
      <c r="I120" s="95"/>
      <c r="J120" s="150"/>
      <c r="K120" s="95"/>
      <c r="L120" s="150"/>
      <c r="M120" s="150"/>
    </row>
    <row r="121" spans="3:13">
      <c r="H121" s="154"/>
      <c r="I121" s="155"/>
      <c r="J121" s="150"/>
      <c r="K121" s="150"/>
      <c r="L121" s="152"/>
      <c r="M121" s="150"/>
    </row>
    <row r="122" spans="3:13">
      <c r="H122" s="154"/>
      <c r="I122" s="155"/>
      <c r="J122" s="150"/>
      <c r="K122" s="152"/>
      <c r="L122" s="152"/>
      <c r="M122" s="150"/>
    </row>
    <row r="123" spans="3:13">
      <c r="H123" s="156"/>
      <c r="I123" s="159"/>
      <c r="J123" s="161"/>
      <c r="K123" s="152"/>
      <c r="L123" s="152"/>
      <c r="M123" s="150"/>
    </row>
    <row r="124" spans="3:13">
      <c r="H124" s="156"/>
      <c r="I124" s="163"/>
      <c r="J124" s="159"/>
      <c r="K124" s="152"/>
      <c r="L124" s="152"/>
      <c r="M124" s="150"/>
    </row>
    <row r="125" spans="3:13">
      <c r="H125" s="156"/>
      <c r="I125" s="159"/>
      <c r="J125" s="159"/>
      <c r="K125" s="152"/>
      <c r="L125" s="152"/>
      <c r="M125" s="150"/>
    </row>
    <row r="126" spans="3:13">
      <c r="H126" s="156"/>
      <c r="I126" s="163"/>
      <c r="J126" s="159"/>
      <c r="K126" s="152"/>
      <c r="L126" s="152"/>
      <c r="M126" s="150"/>
    </row>
    <row r="127" spans="3:13">
      <c r="H127" s="156"/>
      <c r="I127" s="155"/>
      <c r="J127" s="152"/>
      <c r="K127" s="152"/>
      <c r="L127" s="152"/>
      <c r="M127" s="150"/>
    </row>
    <row r="128" spans="3:13">
      <c r="H128" s="156"/>
      <c r="I128" s="95"/>
      <c r="J128" s="150"/>
      <c r="K128" s="95"/>
      <c r="L128" s="152"/>
      <c r="M128" s="150"/>
    </row>
    <row r="129" spans="2:13">
      <c r="H129" s="150"/>
      <c r="I129" s="151"/>
      <c r="J129" s="152"/>
      <c r="K129" s="152"/>
      <c r="L129" s="150"/>
      <c r="M129" s="150"/>
    </row>
    <row r="130" spans="2:13">
      <c r="B130" s="35" t="s">
        <v>318</v>
      </c>
      <c r="C130" s="32" t="s">
        <v>23</v>
      </c>
      <c r="D130" s="16"/>
      <c r="E130" s="16"/>
      <c r="F130" s="16"/>
      <c r="H130" s="150"/>
      <c r="I130" s="151"/>
      <c r="J130" s="152"/>
      <c r="K130" s="152"/>
      <c r="L130" s="150"/>
      <c r="M130" s="150"/>
    </row>
    <row r="131" spans="2:13">
      <c r="B131" s="21" t="s">
        <v>33</v>
      </c>
      <c r="C131" s="23" t="s">
        <v>34</v>
      </c>
      <c r="H131" s="156"/>
      <c r="I131" s="95"/>
      <c r="J131" s="150"/>
      <c r="K131" s="150"/>
      <c r="L131" s="152"/>
      <c r="M131" s="150"/>
    </row>
    <row r="132" spans="2:13">
      <c r="B132" s="19" t="s">
        <v>6</v>
      </c>
      <c r="C132" s="25">
        <f>C63*C60</f>
        <v>1440</v>
      </c>
      <c r="D132" s="15" t="s">
        <v>16</v>
      </c>
      <c r="H132" s="150"/>
      <c r="I132" s="151"/>
      <c r="J132" s="152"/>
      <c r="K132" s="152"/>
      <c r="L132" s="152"/>
      <c r="M132" s="150"/>
    </row>
    <row r="133" spans="2:13" ht="15.75">
      <c r="B133" s="21" t="s">
        <v>243</v>
      </c>
      <c r="C133" s="23" t="s">
        <v>35</v>
      </c>
      <c r="H133" s="150"/>
      <c r="I133" s="151"/>
      <c r="J133" s="152"/>
      <c r="K133" s="152"/>
      <c r="L133" s="150"/>
      <c r="M133" s="150"/>
    </row>
    <row r="134" spans="2:13">
      <c r="B134" s="19" t="s">
        <v>6</v>
      </c>
      <c r="C134" s="25">
        <f>C132 / 2</f>
        <v>720</v>
      </c>
      <c r="D134" s="15" t="s">
        <v>16</v>
      </c>
      <c r="G134" s="16"/>
      <c r="H134" s="150"/>
      <c r="I134" s="151"/>
      <c r="J134" s="152"/>
      <c r="K134" s="152"/>
      <c r="L134" s="152"/>
      <c r="M134" s="150"/>
    </row>
    <row r="135" spans="2:13">
      <c r="B135" s="21" t="s">
        <v>36</v>
      </c>
      <c r="C135" s="23" t="s">
        <v>327</v>
      </c>
      <c r="H135" s="150"/>
      <c r="I135" s="151"/>
      <c r="J135" s="152"/>
      <c r="K135" s="152"/>
      <c r="L135" s="152"/>
      <c r="M135" s="150"/>
    </row>
    <row r="136" spans="2:13">
      <c r="B136" s="19" t="s">
        <v>6</v>
      </c>
      <c r="C136" s="25">
        <f>(C63/12) * C70^2 / 8</f>
        <v>43200</v>
      </c>
      <c r="D136" s="24" t="s">
        <v>21</v>
      </c>
      <c r="H136" s="150"/>
      <c r="I136" s="151"/>
      <c r="J136" s="152"/>
      <c r="K136" s="152"/>
      <c r="L136" s="152"/>
      <c r="M136" s="150"/>
    </row>
    <row r="137" spans="2:13">
      <c r="B137" s="21" t="s">
        <v>324</v>
      </c>
      <c r="C137" s="159" t="s">
        <v>320</v>
      </c>
      <c r="H137" s="65"/>
      <c r="I137" s="164"/>
      <c r="J137" s="149"/>
      <c r="K137" s="149"/>
      <c r="L137" s="149"/>
      <c r="M137" s="65"/>
    </row>
    <row r="138" spans="2:13">
      <c r="B138" s="156" t="s">
        <v>6</v>
      </c>
      <c r="C138" s="159">
        <f>(C63*C61 / 24)*(C70 - C61)</f>
        <v>43200</v>
      </c>
      <c r="D138" s="24" t="s">
        <v>21</v>
      </c>
      <c r="H138" s="65"/>
      <c r="I138" s="164"/>
      <c r="J138" s="149"/>
      <c r="K138" s="149"/>
      <c r="L138" s="149"/>
      <c r="M138" s="65"/>
    </row>
    <row r="139" spans="2:13">
      <c r="B139" s="21" t="s">
        <v>219</v>
      </c>
      <c r="C139" s="159" t="s">
        <v>321</v>
      </c>
      <c r="H139" s="65"/>
      <c r="I139" s="164"/>
      <c r="J139" s="149"/>
      <c r="K139" s="149"/>
      <c r="L139" s="149"/>
      <c r="M139" s="65"/>
    </row>
    <row r="140" spans="2:13">
      <c r="B140" s="21" t="s">
        <v>6</v>
      </c>
      <c r="C140" s="159">
        <f>(C63*C59 / 24)*(C70 - C59)</f>
        <v>42000</v>
      </c>
      <c r="H140" s="65"/>
      <c r="I140" s="164"/>
      <c r="J140" s="149"/>
      <c r="K140" s="149"/>
      <c r="L140" s="149"/>
      <c r="M140" s="65"/>
    </row>
    <row r="141" spans="2:13" ht="15.75">
      <c r="B141" s="21" t="s">
        <v>244</v>
      </c>
      <c r="C141" s="23" t="s">
        <v>41</v>
      </c>
      <c r="H141" s="65"/>
      <c r="I141" s="164"/>
      <c r="J141" s="149"/>
      <c r="K141" s="149"/>
      <c r="L141" s="149"/>
      <c r="M141" s="65"/>
    </row>
    <row r="142" spans="2:13">
      <c r="B142" s="21" t="s">
        <v>6</v>
      </c>
      <c r="C142" s="25">
        <f>C134</f>
        <v>720</v>
      </c>
      <c r="D142" s="15" t="s">
        <v>16</v>
      </c>
      <c r="H142" s="65"/>
      <c r="I142" s="164"/>
      <c r="J142" s="149"/>
      <c r="K142" s="149"/>
      <c r="L142" s="149"/>
      <c r="M142" s="65"/>
    </row>
    <row r="143" spans="2:13" ht="15.75">
      <c r="B143" s="21" t="s">
        <v>245</v>
      </c>
      <c r="C143" s="37" t="s">
        <v>64</v>
      </c>
      <c r="H143" s="65"/>
      <c r="I143" s="164"/>
      <c r="J143" s="149"/>
      <c r="K143" s="149"/>
      <c r="L143" s="149"/>
      <c r="M143" s="65"/>
    </row>
    <row r="144" spans="2:13">
      <c r="B144" s="21" t="s">
        <v>6</v>
      </c>
      <c r="C144" s="25">
        <f>-(C132-C134)</f>
        <v>-720</v>
      </c>
      <c r="D144" s="15" t="s">
        <v>16</v>
      </c>
      <c r="H144" s="65"/>
      <c r="I144" s="164"/>
      <c r="J144" s="149"/>
      <c r="K144" s="149"/>
      <c r="L144" s="149"/>
      <c r="M144" s="65"/>
    </row>
    <row r="145" spans="2:13">
      <c r="H145" s="65"/>
      <c r="I145" s="164"/>
      <c r="J145" s="149"/>
      <c r="K145" s="149"/>
      <c r="L145" s="149"/>
      <c r="M145" s="65"/>
    </row>
    <row r="146" spans="2:13">
      <c r="B146" s="58"/>
      <c r="C146" s="33"/>
      <c r="D146" s="28"/>
      <c r="E146" s="33"/>
      <c r="F146" s="33"/>
      <c r="H146" s="65"/>
      <c r="I146" s="164"/>
      <c r="J146" s="149"/>
      <c r="K146" s="149"/>
      <c r="L146" s="149"/>
      <c r="M146" s="65"/>
    </row>
    <row r="147" spans="2:13">
      <c r="C147" s="32" t="s">
        <v>23</v>
      </c>
      <c r="H147" s="65"/>
      <c r="I147" s="164"/>
      <c r="J147" s="149"/>
      <c r="K147" s="149"/>
      <c r="L147" s="149"/>
      <c r="M147" s="65"/>
    </row>
    <row r="148" spans="2:13">
      <c r="B148" s="21" t="s">
        <v>158</v>
      </c>
      <c r="C148" s="23" t="s">
        <v>201</v>
      </c>
      <c r="H148" s="65"/>
      <c r="I148" s="164"/>
      <c r="J148" s="149"/>
      <c r="K148" s="149"/>
      <c r="L148" s="149"/>
      <c r="M148" s="65"/>
    </row>
    <row r="149" spans="2:13">
      <c r="B149" s="56" t="s">
        <v>6</v>
      </c>
      <c r="C149" s="38">
        <f>(C63/(24*C66*C65))*((C70^3*C61 - 2*C70*C61^3 + C61^4))</f>
        <v>0.17965690521573383</v>
      </c>
      <c r="D149" s="23" t="s">
        <v>20</v>
      </c>
      <c r="H149" s="65"/>
      <c r="I149" s="164"/>
      <c r="J149" s="149"/>
      <c r="K149" s="149"/>
      <c r="L149" s="149"/>
      <c r="M149" s="65"/>
    </row>
    <row r="150" spans="2:13">
      <c r="B150" s="21" t="s">
        <v>70</v>
      </c>
      <c r="C150" s="23" t="s">
        <v>202</v>
      </c>
      <c r="H150" s="65"/>
      <c r="I150" s="164"/>
      <c r="J150" s="149"/>
      <c r="K150" s="149"/>
      <c r="L150" s="149"/>
      <c r="M150" s="65"/>
    </row>
    <row r="151" spans="2:13">
      <c r="B151" s="39" t="s">
        <v>118</v>
      </c>
      <c r="C151" s="38">
        <f>(5*C63*C70^4) / (384*C66*C65)</f>
        <v>0.17965690521573385</v>
      </c>
      <c r="D151" s="23" t="s">
        <v>20</v>
      </c>
      <c r="H151" s="65"/>
      <c r="I151" s="164"/>
      <c r="J151" s="149"/>
      <c r="K151" s="149"/>
      <c r="L151" s="149"/>
      <c r="M151" s="65"/>
    </row>
    <row r="152" spans="2:13">
      <c r="H152" s="65"/>
      <c r="I152" s="164"/>
      <c r="J152" s="149"/>
      <c r="K152" s="149"/>
      <c r="L152" s="149"/>
      <c r="M152" s="65"/>
    </row>
    <row r="153" spans="2:13">
      <c r="B153" s="58"/>
      <c r="C153" s="33"/>
      <c r="D153" s="28"/>
      <c r="E153" s="33"/>
      <c r="F153" s="33"/>
      <c r="H153" s="65"/>
      <c r="I153" s="164"/>
      <c r="J153" s="149"/>
      <c r="K153" s="149"/>
      <c r="L153" s="149"/>
      <c r="M153" s="65"/>
    </row>
    <row r="154" spans="2:13">
      <c r="B154" s="57" t="s">
        <v>71</v>
      </c>
      <c r="C154" s="32" t="s">
        <v>23</v>
      </c>
      <c r="H154" s="65"/>
      <c r="I154" s="164"/>
      <c r="J154" s="149"/>
      <c r="K154" s="149"/>
      <c r="L154" s="149"/>
      <c r="M154" s="65"/>
    </row>
    <row r="155" spans="2:13">
      <c r="B155" s="39" t="s">
        <v>187</v>
      </c>
      <c r="C155" s="23" t="s">
        <v>203</v>
      </c>
      <c r="D155" s="14"/>
      <c r="E155" s="42"/>
      <c r="H155" s="65"/>
      <c r="I155" s="164"/>
      <c r="J155" s="149"/>
      <c r="K155" s="149"/>
      <c r="L155" s="149"/>
      <c r="M155" s="65"/>
    </row>
    <row r="156" spans="2:13">
      <c r="B156" s="39" t="s">
        <v>6</v>
      </c>
      <c r="C156" s="40">
        <f>-(($C$63*$C$70^3)/(24*$C$66*$C$65))</f>
        <v>-2.395425402876451E-3</v>
      </c>
      <c r="D156" s="23" t="s">
        <v>69</v>
      </c>
      <c r="E156" s="38">
        <f>C156*57.3</f>
        <v>-0.13725787558482064</v>
      </c>
      <c r="F156" t="s">
        <v>9</v>
      </c>
      <c r="H156" s="65"/>
      <c r="I156" s="164"/>
      <c r="J156" s="149"/>
      <c r="K156" s="149"/>
      <c r="L156" s="149"/>
      <c r="M156" s="65"/>
    </row>
    <row r="157" spans="2:13">
      <c r="B157" s="39" t="s">
        <v>188</v>
      </c>
      <c r="C157" s="23" t="s">
        <v>204</v>
      </c>
      <c r="D157" s="23"/>
      <c r="E157" s="23"/>
      <c r="H157" s="65"/>
      <c r="I157" s="164"/>
      <c r="J157" s="149"/>
      <c r="K157" s="149"/>
      <c r="L157" s="149"/>
      <c r="M157" s="65"/>
    </row>
    <row r="158" spans="2:13">
      <c r="B158" s="39" t="s">
        <v>6</v>
      </c>
      <c r="C158" s="40">
        <f>(($C$63*$C$70^3)/(24*$C$66*$C$65))</f>
        <v>2.395425402876451E-3</v>
      </c>
      <c r="D158" s="23" t="s">
        <v>69</v>
      </c>
      <c r="E158" s="38">
        <f>C158*57.3</f>
        <v>0.13725787558482064</v>
      </c>
      <c r="F158" t="s">
        <v>9</v>
      </c>
      <c r="H158" s="65"/>
      <c r="I158" s="164"/>
      <c r="J158" s="149"/>
      <c r="K158" s="149"/>
      <c r="L158" s="149"/>
      <c r="M158" s="65"/>
    </row>
    <row r="159" spans="2:13">
      <c r="D159" s="14"/>
      <c r="H159" s="65"/>
      <c r="I159" s="164"/>
      <c r="J159" s="149"/>
      <c r="K159" s="149"/>
      <c r="L159" s="149"/>
      <c r="M159" s="65"/>
    </row>
    <row r="160" spans="2:13">
      <c r="B160" s="58"/>
      <c r="C160" s="33"/>
      <c r="D160" s="28"/>
      <c r="E160" s="33"/>
      <c r="F160" s="33"/>
      <c r="H160" s="65"/>
      <c r="I160" s="164"/>
      <c r="J160" s="149"/>
      <c r="K160" s="149"/>
      <c r="L160" s="149"/>
      <c r="M160" s="65"/>
    </row>
    <row r="161" spans="2:13">
      <c r="H161" s="65"/>
      <c r="I161" s="164"/>
      <c r="J161" s="149"/>
      <c r="K161" s="149"/>
      <c r="L161" s="149"/>
      <c r="M161" s="65"/>
    </row>
    <row r="162" spans="2:13" ht="15.75">
      <c r="B162" s="103" t="s">
        <v>400</v>
      </c>
      <c r="H162" s="131"/>
      <c r="I162" s="132"/>
      <c r="J162" s="133"/>
      <c r="K162" s="132"/>
      <c r="L162" s="133"/>
      <c r="M162" s="65"/>
    </row>
    <row r="163" spans="2:13">
      <c r="B163" s="35" t="s">
        <v>74</v>
      </c>
      <c r="H163" s="156"/>
      <c r="I163" s="159"/>
      <c r="J163" s="152"/>
      <c r="K163" s="152"/>
      <c r="L163" s="152"/>
      <c r="M163" s="150"/>
    </row>
    <row r="164" spans="2:13">
      <c r="H164" s="156"/>
      <c r="I164" s="160"/>
      <c r="J164" s="150"/>
      <c r="K164" s="150"/>
      <c r="L164" s="152"/>
      <c r="M164" s="150"/>
    </row>
    <row r="165" spans="2:13">
      <c r="H165" s="150"/>
      <c r="I165" s="151"/>
      <c r="J165" s="152"/>
      <c r="K165" s="152"/>
      <c r="L165" s="152"/>
      <c r="M165" s="150"/>
    </row>
    <row r="166" spans="2:13">
      <c r="H166" s="156"/>
      <c r="I166" s="161"/>
      <c r="J166" s="152"/>
      <c r="K166" s="152"/>
      <c r="L166" s="152"/>
      <c r="M166" s="150"/>
    </row>
    <row r="167" spans="2:13">
      <c r="H167" s="150"/>
      <c r="I167" s="151"/>
      <c r="J167" s="152"/>
      <c r="K167" s="152"/>
      <c r="L167" s="152"/>
      <c r="M167" s="150"/>
    </row>
    <row r="168" spans="2:13">
      <c r="H168" s="150"/>
      <c r="I168" s="151"/>
      <c r="J168" s="152"/>
      <c r="K168" s="152"/>
      <c r="L168" s="152"/>
      <c r="M168" s="150"/>
    </row>
    <row r="169" spans="2:13">
      <c r="H169" s="150"/>
      <c r="I169" s="151"/>
      <c r="J169" s="152"/>
      <c r="K169" s="152"/>
      <c r="L169" s="152"/>
      <c r="M169" s="150"/>
    </row>
    <row r="170" spans="2:13">
      <c r="H170" s="150"/>
      <c r="I170" s="151"/>
      <c r="J170" s="152"/>
      <c r="K170" s="152"/>
      <c r="L170" s="152"/>
      <c r="M170" s="150"/>
    </row>
    <row r="171" spans="2:13">
      <c r="H171" s="150"/>
      <c r="I171" s="151"/>
      <c r="J171" s="152"/>
      <c r="K171" s="152"/>
      <c r="L171" s="152"/>
      <c r="M171" s="150"/>
    </row>
    <row r="172" spans="2:13">
      <c r="H172" s="150"/>
      <c r="I172" s="151"/>
      <c r="J172" s="152"/>
      <c r="K172" s="152"/>
      <c r="L172" s="152"/>
      <c r="M172" s="150"/>
    </row>
    <row r="173" spans="2:13">
      <c r="H173" s="150"/>
      <c r="I173" s="151"/>
      <c r="J173" s="152"/>
      <c r="K173" s="152"/>
      <c r="L173" s="152"/>
      <c r="M173" s="150"/>
    </row>
    <row r="174" spans="2:13">
      <c r="H174" s="150"/>
      <c r="I174" s="151"/>
      <c r="J174" s="152"/>
      <c r="K174" s="152"/>
      <c r="L174" s="152"/>
      <c r="M174" s="150"/>
    </row>
    <row r="175" spans="2:13">
      <c r="H175" s="150"/>
      <c r="I175" s="151"/>
      <c r="J175" s="152"/>
      <c r="K175" s="152"/>
      <c r="L175" s="152"/>
      <c r="M175" s="150"/>
    </row>
    <row r="176" spans="2:13">
      <c r="H176" s="150"/>
      <c r="I176" s="151"/>
      <c r="J176" s="152"/>
      <c r="K176" s="152"/>
      <c r="L176" s="152"/>
      <c r="M176" s="150"/>
    </row>
    <row r="177" spans="8:13">
      <c r="H177" s="150"/>
      <c r="I177" s="151"/>
      <c r="J177" s="152"/>
      <c r="K177" s="152"/>
      <c r="L177" s="152"/>
      <c r="M177" s="150"/>
    </row>
    <row r="178" spans="8:13">
      <c r="H178" s="150"/>
      <c r="I178" s="151"/>
      <c r="J178" s="152"/>
      <c r="K178" s="152"/>
      <c r="L178" s="152"/>
      <c r="M178" s="150"/>
    </row>
    <row r="179" spans="8:13">
      <c r="H179" s="150"/>
      <c r="I179" s="151"/>
      <c r="J179" s="152"/>
      <c r="K179" s="152"/>
      <c r="L179" s="152"/>
      <c r="M179" s="150"/>
    </row>
    <row r="180" spans="8:13">
      <c r="H180" s="150"/>
      <c r="I180" s="151"/>
      <c r="J180" s="152"/>
      <c r="K180" s="152"/>
      <c r="L180" s="152"/>
      <c r="M180" s="150"/>
    </row>
    <row r="181" spans="8:13">
      <c r="H181" s="150"/>
      <c r="I181" s="151"/>
      <c r="J181" s="152"/>
      <c r="K181" s="152"/>
      <c r="L181" s="152"/>
      <c r="M181" s="150"/>
    </row>
    <row r="182" spans="8:13" ht="13.5" customHeight="1">
      <c r="H182" s="150"/>
      <c r="I182" s="151"/>
      <c r="J182" s="152"/>
      <c r="K182" s="152"/>
      <c r="L182" s="152"/>
      <c r="M182" s="150"/>
    </row>
    <row r="183" spans="8:13">
      <c r="H183" s="150"/>
      <c r="I183" s="151"/>
      <c r="J183" s="152"/>
      <c r="K183" s="152"/>
      <c r="L183" s="152"/>
      <c r="M183" s="150"/>
    </row>
    <row r="184" spans="8:13">
      <c r="H184" s="150"/>
      <c r="I184" s="151"/>
      <c r="J184" s="152"/>
      <c r="K184" s="152"/>
      <c r="L184" s="152"/>
      <c r="M184" s="150"/>
    </row>
    <row r="185" spans="8:13">
      <c r="H185" s="65"/>
      <c r="I185" s="164"/>
      <c r="J185" s="149"/>
      <c r="K185" s="149"/>
      <c r="L185" s="149"/>
      <c r="M185" s="65"/>
    </row>
    <row r="186" spans="8:13">
      <c r="H186" s="65"/>
      <c r="I186" s="164"/>
      <c r="J186" s="149"/>
      <c r="K186" s="149"/>
      <c r="L186" s="149"/>
      <c r="M186" s="65"/>
    </row>
    <row r="187" spans="8:13">
      <c r="H187" s="65"/>
      <c r="I187" s="164"/>
      <c r="J187" s="149"/>
      <c r="K187" s="149"/>
      <c r="L187" s="149"/>
      <c r="M187" s="65"/>
    </row>
    <row r="188" spans="8:13">
      <c r="H188" s="65"/>
      <c r="I188" s="164"/>
      <c r="J188" s="149"/>
      <c r="K188" s="149"/>
      <c r="L188" s="149"/>
      <c r="M188" s="65"/>
    </row>
    <row r="189" spans="8:13">
      <c r="H189" s="65"/>
      <c r="I189" s="164"/>
      <c r="J189" s="149"/>
      <c r="K189" s="149"/>
      <c r="L189" s="149"/>
      <c r="M189" s="65"/>
    </row>
    <row r="190" spans="8:13">
      <c r="H190" s="65"/>
      <c r="I190" s="164"/>
      <c r="J190" s="149"/>
      <c r="K190" s="149"/>
      <c r="L190" s="149"/>
      <c r="M190" s="65"/>
    </row>
    <row r="191" spans="8:13">
      <c r="H191" s="65"/>
      <c r="I191" s="164"/>
      <c r="J191" s="149"/>
      <c r="K191" s="149"/>
      <c r="L191" s="149"/>
      <c r="M191" s="65"/>
    </row>
    <row r="192" spans="8:13">
      <c r="H192" s="65"/>
      <c r="I192" s="164"/>
      <c r="J192" s="149"/>
      <c r="K192" s="149"/>
      <c r="L192" s="149"/>
      <c r="M192" s="65"/>
    </row>
    <row r="193" spans="2:13">
      <c r="E193" s="102"/>
      <c r="H193" s="65"/>
      <c r="I193" s="164"/>
      <c r="J193" s="149"/>
      <c r="K193" s="149"/>
      <c r="L193" s="149"/>
      <c r="M193" s="65"/>
    </row>
    <row r="194" spans="2:13">
      <c r="H194" s="65"/>
      <c r="I194" s="164"/>
      <c r="J194" s="149"/>
      <c r="K194" s="149"/>
      <c r="L194" s="149"/>
      <c r="M194" s="65"/>
    </row>
    <row r="195" spans="2:13" ht="15.75">
      <c r="B195" s="120" t="s">
        <v>217</v>
      </c>
      <c r="C195" s="32" t="s">
        <v>23</v>
      </c>
      <c r="D195" s="16"/>
      <c r="H195" s="65"/>
      <c r="I195" s="164"/>
      <c r="J195" s="149"/>
      <c r="K195" s="149"/>
      <c r="L195" s="149"/>
      <c r="M195" s="65"/>
    </row>
    <row r="196" spans="2:13" ht="15.75">
      <c r="B196" s="21" t="s">
        <v>246</v>
      </c>
      <c r="C196" s="23" t="s">
        <v>51</v>
      </c>
      <c r="H196" s="65"/>
      <c r="I196" s="164"/>
      <c r="J196" s="149"/>
      <c r="K196" s="149"/>
      <c r="L196" s="149"/>
      <c r="M196" s="65"/>
    </row>
    <row r="197" spans="2:13">
      <c r="B197" s="19" t="s">
        <v>6</v>
      </c>
      <c r="C197" s="25">
        <f>C74+C134</f>
        <v>6553.333333333333</v>
      </c>
      <c r="D197" s="15" t="s">
        <v>16</v>
      </c>
      <c r="H197" s="65"/>
      <c r="I197" s="164"/>
      <c r="J197" s="149"/>
      <c r="K197" s="149"/>
      <c r="L197" s="149"/>
      <c r="M197" s="65"/>
    </row>
    <row r="198" spans="2:13" ht="15.75">
      <c r="B198" s="21" t="s">
        <v>247</v>
      </c>
      <c r="C198" s="23" t="s">
        <v>46</v>
      </c>
      <c r="H198" s="65"/>
      <c r="I198" s="164"/>
      <c r="J198" s="149"/>
      <c r="K198" s="149"/>
      <c r="L198" s="149"/>
      <c r="M198" s="65"/>
    </row>
    <row r="199" spans="2:13">
      <c r="B199" s="21" t="s">
        <v>6</v>
      </c>
      <c r="C199" s="25">
        <f>C58+C132-C197</f>
        <v>4886.666666666667</v>
      </c>
      <c r="D199" s="15" t="s">
        <v>16</v>
      </c>
      <c r="H199" s="65"/>
      <c r="I199" s="164"/>
      <c r="J199" s="149"/>
      <c r="K199" s="149"/>
      <c r="L199" s="149"/>
      <c r="M199" s="65"/>
    </row>
    <row r="200" spans="2:13" ht="15.75">
      <c r="B200" s="21" t="s">
        <v>244</v>
      </c>
      <c r="C200" s="23" t="s">
        <v>47</v>
      </c>
      <c r="H200" s="65"/>
      <c r="I200" s="164"/>
      <c r="J200" s="149"/>
      <c r="K200" s="149"/>
      <c r="L200" s="149"/>
      <c r="M200" s="65"/>
    </row>
    <row r="201" spans="2:13">
      <c r="B201" s="21" t="s">
        <v>6</v>
      </c>
      <c r="C201" s="25">
        <f>C197</f>
        <v>6553.333333333333</v>
      </c>
      <c r="D201" s="15" t="s">
        <v>16</v>
      </c>
      <c r="H201" s="65"/>
      <c r="I201" s="164"/>
      <c r="J201" s="149"/>
      <c r="K201" s="149"/>
      <c r="L201" s="149"/>
      <c r="M201" s="65"/>
    </row>
    <row r="202" spans="2:13" ht="15.75">
      <c r="B202" s="21" t="s">
        <v>245</v>
      </c>
      <c r="C202" s="23" t="s">
        <v>48</v>
      </c>
      <c r="H202" s="65"/>
      <c r="I202" s="164"/>
      <c r="J202" s="149"/>
      <c r="K202" s="149"/>
      <c r="L202" s="149"/>
      <c r="M202" s="65"/>
    </row>
    <row r="203" spans="2:13">
      <c r="B203" s="21" t="s">
        <v>6</v>
      </c>
      <c r="C203" s="25">
        <f>C199</f>
        <v>4886.666666666667</v>
      </c>
      <c r="D203" s="15" t="s">
        <v>16</v>
      </c>
      <c r="H203" s="65"/>
      <c r="I203" s="164"/>
      <c r="J203" s="149"/>
      <c r="K203" s="149"/>
      <c r="L203" s="149"/>
      <c r="M203" s="65"/>
    </row>
    <row r="204" spans="2:13">
      <c r="B204" s="21" t="s">
        <v>52</v>
      </c>
      <c r="C204" s="23">
        <f>C59</f>
        <v>100</v>
      </c>
      <c r="D204" s="15" t="s">
        <v>29</v>
      </c>
      <c r="H204" s="65"/>
      <c r="I204" s="164"/>
      <c r="J204" s="149"/>
      <c r="K204" s="149"/>
      <c r="L204" s="149"/>
      <c r="M204" s="65"/>
    </row>
    <row r="205" spans="2:13">
      <c r="B205" s="21" t="s">
        <v>325</v>
      </c>
      <c r="C205" s="23" t="s">
        <v>323</v>
      </c>
      <c r="H205" s="65"/>
      <c r="I205" s="164"/>
      <c r="J205" s="149"/>
      <c r="K205" s="149"/>
      <c r="L205" s="149"/>
      <c r="M205" s="65"/>
    </row>
    <row r="206" spans="2:13">
      <c r="B206" s="19" t="s">
        <v>6</v>
      </c>
      <c r="C206" s="25">
        <f>C78 + C140</f>
        <v>625333.33333333337</v>
      </c>
      <c r="D206" s="15" t="s">
        <v>21</v>
      </c>
      <c r="H206" s="65"/>
      <c r="I206" s="164"/>
      <c r="J206" s="149"/>
      <c r="K206" s="149"/>
      <c r="L206" s="149"/>
      <c r="M206" s="65"/>
    </row>
    <row r="207" spans="2:13">
      <c r="B207" s="21" t="s">
        <v>24</v>
      </c>
      <c r="C207" s="23" t="s">
        <v>326</v>
      </c>
      <c r="D207" s="24"/>
      <c r="H207" s="65"/>
      <c r="I207" s="164"/>
      <c r="J207" s="149"/>
      <c r="K207" s="149"/>
      <c r="L207" s="149"/>
      <c r="M207" s="65"/>
    </row>
    <row r="208" spans="2:13">
      <c r="B208" s="21" t="s">
        <v>6</v>
      </c>
      <c r="C208" s="25">
        <f>C206/C64</f>
        <v>6420.2600958247776</v>
      </c>
      <c r="D208" s="15" t="s">
        <v>15</v>
      </c>
      <c r="H208" s="65"/>
      <c r="I208" s="164"/>
      <c r="J208" s="149"/>
      <c r="K208" s="149"/>
      <c r="L208" s="149"/>
      <c r="M208" s="65"/>
    </row>
    <row r="209" spans="2:13">
      <c r="B209" s="21" t="s">
        <v>53</v>
      </c>
      <c r="C209" s="23" t="s">
        <v>26</v>
      </c>
      <c r="H209" s="65"/>
      <c r="I209" s="164"/>
      <c r="J209" s="149"/>
      <c r="K209" s="149"/>
      <c r="L209" s="149"/>
      <c r="M209" s="65"/>
    </row>
    <row r="210" spans="2:13" ht="13.5" thickBot="1">
      <c r="B210" s="21" t="s">
        <v>6</v>
      </c>
      <c r="C210" s="26">
        <f>C67/C208</f>
        <v>3.4266524520255861</v>
      </c>
      <c r="D210" s="45" t="str">
        <f>IF(C210&lt;2,"SFx &lt; 2.00, Not OK","SFx &gt; 2.00,  OK")</f>
        <v>SFx &gt; 2.00,  OK</v>
      </c>
      <c r="H210" s="65"/>
      <c r="I210" s="164"/>
      <c r="J210" s="149"/>
      <c r="K210" s="149"/>
      <c r="L210" s="149"/>
      <c r="M210" s="65"/>
    </row>
    <row r="211" spans="2:13">
      <c r="C211" s="25"/>
      <c r="H211" s="65"/>
      <c r="I211" s="164"/>
      <c r="J211" s="149"/>
      <c r="K211" s="149"/>
      <c r="L211" s="149"/>
      <c r="M211" s="65"/>
    </row>
    <row r="212" spans="2:13">
      <c r="B212" s="35" t="s">
        <v>59</v>
      </c>
      <c r="H212" s="65"/>
      <c r="I212" s="164"/>
      <c r="J212" s="149"/>
      <c r="K212" s="149"/>
      <c r="L212" s="149"/>
      <c r="M212" s="65"/>
    </row>
    <row r="213" spans="2:13" ht="13.5" thickBot="1">
      <c r="B213" s="21" t="s">
        <v>54</v>
      </c>
      <c r="C213" s="23" t="s">
        <v>152</v>
      </c>
      <c r="H213" s="65"/>
      <c r="I213" s="164"/>
      <c r="J213" s="149"/>
      <c r="K213" s="149"/>
      <c r="L213" s="149"/>
      <c r="M213" s="65"/>
    </row>
    <row r="214" spans="2:13" ht="13.5" thickBot="1">
      <c r="B214" s="21" t="s">
        <v>6</v>
      </c>
      <c r="C214" s="34">
        <f>C80 + C138</f>
        <v>543200</v>
      </c>
      <c r="D214" s="24" t="s">
        <v>21</v>
      </c>
      <c r="E214" s="123" t="str">
        <f>IF($C$61&gt;$C$59,"x &gt; a, Not OK","x &lt; a OK")</f>
        <v>x &gt; a, Not OK</v>
      </c>
      <c r="H214" s="65"/>
      <c r="I214" s="164"/>
      <c r="J214" s="149"/>
      <c r="K214" s="149"/>
      <c r="L214" s="149"/>
      <c r="M214" s="65"/>
    </row>
    <row r="215" spans="2:13" ht="13.5" thickBot="1">
      <c r="B215" s="21" t="s">
        <v>56</v>
      </c>
      <c r="C215" s="23" t="s">
        <v>25</v>
      </c>
      <c r="H215" s="65"/>
      <c r="I215" s="164"/>
      <c r="J215" s="149"/>
      <c r="K215" s="149"/>
      <c r="L215" s="149"/>
      <c r="M215" s="65"/>
    </row>
    <row r="216" spans="2:13" ht="13.5" thickBot="1">
      <c r="B216" s="21" t="s">
        <v>6</v>
      </c>
      <c r="C216" s="25">
        <f>C214/C64</f>
        <v>5577.0020533880897</v>
      </c>
      <c r="D216" s="15" t="s">
        <v>15</v>
      </c>
      <c r="E216" s="123" t="str">
        <f>IF($C$61&gt;$C$59,"x &gt; a, Not OK","x &lt; a OK")</f>
        <v>x &gt; a, Not OK</v>
      </c>
      <c r="H216" s="65"/>
      <c r="I216" s="164"/>
      <c r="J216" s="149"/>
      <c r="K216" s="149"/>
      <c r="L216" s="149"/>
      <c r="M216" s="65"/>
    </row>
    <row r="217" spans="2:13">
      <c r="B217" s="21" t="s">
        <v>57</v>
      </c>
      <c r="C217" s="23" t="s">
        <v>58</v>
      </c>
      <c r="D217" s="24"/>
      <c r="H217" s="65"/>
      <c r="I217" s="164"/>
      <c r="J217" s="149"/>
      <c r="K217" s="149"/>
      <c r="L217" s="149"/>
      <c r="M217" s="65"/>
    </row>
    <row r="218" spans="2:13" ht="13.5" thickBot="1">
      <c r="B218" s="21" t="s">
        <v>6</v>
      </c>
      <c r="C218" s="26">
        <f>C67/C216</f>
        <v>3.9447717231222392</v>
      </c>
      <c r="D218" s="45" t="str">
        <f>IF(C218&lt;2,"SFx &lt; 2.00, Not OK","SFx &gt; 2.00,  OK")</f>
        <v>SFx &gt; 2.00,  OK</v>
      </c>
      <c r="H218" s="65"/>
      <c r="I218" s="164"/>
      <c r="J218" s="149"/>
      <c r="K218" s="149"/>
      <c r="L218" s="149"/>
      <c r="M218" s="65"/>
    </row>
    <row r="219" spans="2:13">
      <c r="H219" s="65"/>
      <c r="I219" s="164"/>
      <c r="J219" s="149"/>
      <c r="K219" s="149"/>
      <c r="L219" s="149"/>
      <c r="M219" s="65"/>
    </row>
    <row r="220" spans="2:13">
      <c r="B220" s="58"/>
      <c r="C220" s="33"/>
      <c r="D220" s="28"/>
      <c r="E220" s="33"/>
      <c r="F220" s="33"/>
      <c r="H220" s="65"/>
      <c r="I220" s="164"/>
      <c r="J220" s="149"/>
      <c r="K220" s="149"/>
      <c r="L220" s="149"/>
      <c r="M220" s="65"/>
    </row>
    <row r="221" spans="2:13">
      <c r="B221" s="44"/>
      <c r="C221" s="43"/>
      <c r="D221" s="24"/>
      <c r="E221" s="24"/>
      <c r="H221" s="65"/>
      <c r="I221" s="129"/>
      <c r="J221" s="149"/>
      <c r="K221" s="149"/>
      <c r="L221" s="149"/>
      <c r="M221" s="65"/>
    </row>
    <row r="222" spans="2:13" ht="13.5" thickBot="1">
      <c r="B222" s="35" t="s">
        <v>76</v>
      </c>
      <c r="H222" s="65"/>
      <c r="I222" s="165"/>
      <c r="J222" s="149"/>
      <c r="K222" s="149"/>
      <c r="L222" s="149"/>
      <c r="M222" s="65"/>
    </row>
    <row r="223" spans="2:13" ht="13.5" thickBot="1">
      <c r="B223" s="21" t="s">
        <v>251</v>
      </c>
      <c r="C223" s="23" t="s">
        <v>157</v>
      </c>
      <c r="E223" s="123" t="str">
        <f>IF($C$61&gt;$C$59,"x &gt; a, Not OK","x &lt; a OK")</f>
        <v>x &gt; a, Not OK</v>
      </c>
      <c r="H223" s="65"/>
      <c r="I223" s="129"/>
      <c r="J223" s="149"/>
      <c r="K223" s="149"/>
      <c r="L223" s="149"/>
      <c r="M223" s="65"/>
    </row>
    <row r="224" spans="2:13" ht="13.5" thickBot="1">
      <c r="B224" s="21" t="s">
        <v>6</v>
      </c>
      <c r="C224" s="176">
        <f>C94+C149</f>
        <v>0.33868961666570396</v>
      </c>
      <c r="D224" s="24" t="s">
        <v>20</v>
      </c>
      <c r="E224" s="184" t="str">
        <f>IF(C224&lt;C226,"OK","Not OK")</f>
        <v>OK</v>
      </c>
      <c r="H224" s="65"/>
      <c r="I224" s="164"/>
      <c r="J224" s="149"/>
      <c r="K224" s="149"/>
      <c r="L224" s="149"/>
      <c r="M224" s="65"/>
    </row>
    <row r="225" spans="2:13">
      <c r="B225" s="21" t="s">
        <v>30</v>
      </c>
      <c r="C225" s="77" t="s">
        <v>205</v>
      </c>
      <c r="D225" s="24"/>
      <c r="H225" s="65"/>
      <c r="I225" s="164"/>
      <c r="J225" s="149"/>
      <c r="K225" s="149"/>
      <c r="L225" s="149"/>
      <c r="M225" s="65"/>
    </row>
    <row r="226" spans="2:13">
      <c r="B226" s="21" t="s">
        <v>6</v>
      </c>
      <c r="C226" s="176">
        <f>C70/360</f>
        <v>0.66666666666666663</v>
      </c>
      <c r="D226" s="24" t="s">
        <v>20</v>
      </c>
      <c r="H226" s="65"/>
      <c r="I226" s="164"/>
      <c r="J226" s="149"/>
      <c r="K226" s="149"/>
      <c r="L226" s="149"/>
      <c r="M226" s="65"/>
    </row>
    <row r="227" spans="2:13">
      <c r="H227" s="65"/>
      <c r="I227" s="164"/>
      <c r="J227" s="149"/>
      <c r="K227" s="149"/>
      <c r="L227" s="149"/>
      <c r="M227" s="65"/>
    </row>
    <row r="228" spans="2:13">
      <c r="B228" s="58"/>
      <c r="C228" s="33"/>
      <c r="D228" s="28"/>
      <c r="E228" s="33"/>
      <c r="F228" s="33"/>
      <c r="H228" s="65"/>
      <c r="I228" s="164"/>
      <c r="J228" s="149"/>
      <c r="K228" s="149"/>
      <c r="L228" s="149"/>
      <c r="M228" s="65"/>
    </row>
    <row r="229" spans="2:13">
      <c r="H229" s="65"/>
      <c r="I229" s="164"/>
      <c r="J229" s="149"/>
      <c r="K229" s="149"/>
      <c r="L229" s="149"/>
      <c r="M229" s="65"/>
    </row>
    <row r="230" spans="2:13">
      <c r="B230" s="35" t="s">
        <v>116</v>
      </c>
      <c r="D230" s="20"/>
      <c r="H230" s="65"/>
      <c r="I230" s="164"/>
      <c r="J230" s="149"/>
      <c r="K230" s="149"/>
      <c r="L230" s="149"/>
      <c r="M230" s="65"/>
    </row>
    <row r="231" spans="2:13" ht="13.5" thickBot="1">
      <c r="C231" s="32" t="s">
        <v>10</v>
      </c>
      <c r="H231" s="65"/>
      <c r="I231" s="164"/>
      <c r="J231" s="149"/>
      <c r="K231" s="149"/>
      <c r="L231" s="149"/>
      <c r="M231" s="65"/>
    </row>
    <row r="232" spans="2:13" ht="13.5" thickBot="1">
      <c r="B232" s="21" t="s">
        <v>32</v>
      </c>
      <c r="C232" s="52">
        <v>5000</v>
      </c>
      <c r="D232" s="15" t="s">
        <v>16</v>
      </c>
      <c r="F232" s="17" t="s">
        <v>42</v>
      </c>
      <c r="G232" s="183">
        <v>10</v>
      </c>
      <c r="H232" s="65"/>
      <c r="I232" s="164"/>
      <c r="J232" s="149"/>
      <c r="K232" s="149"/>
      <c r="L232" s="149"/>
      <c r="M232" s="65"/>
    </row>
    <row r="233" spans="2:13" ht="13.5" thickBot="1">
      <c r="B233" s="21" t="s">
        <v>60</v>
      </c>
      <c r="C233" s="53">
        <v>100</v>
      </c>
      <c r="D233" s="15" t="s">
        <v>20</v>
      </c>
      <c r="F233" s="71" t="s">
        <v>43</v>
      </c>
      <c r="G233" s="18" t="s">
        <v>44</v>
      </c>
      <c r="H233" s="65"/>
      <c r="I233" s="164"/>
      <c r="J233" s="149"/>
      <c r="K233" s="149"/>
      <c r="L233" s="149"/>
      <c r="M233" s="65"/>
    </row>
    <row r="234" spans="2:13" ht="13.5" thickBot="1">
      <c r="B234" s="21" t="s">
        <v>160</v>
      </c>
      <c r="C234" s="53">
        <v>18</v>
      </c>
      <c r="D234" s="15" t="s">
        <v>17</v>
      </c>
      <c r="F234" s="70" t="s">
        <v>6</v>
      </c>
      <c r="G234" s="18">
        <f>G232*12</f>
        <v>120</v>
      </c>
      <c r="H234" s="65"/>
      <c r="I234" s="164"/>
      <c r="J234" s="149"/>
      <c r="K234" s="149"/>
      <c r="L234" s="149"/>
      <c r="M234" s="65"/>
    </row>
    <row r="235" spans="2:13">
      <c r="B235" s="21" t="s">
        <v>40</v>
      </c>
      <c r="C235" s="53">
        <v>120</v>
      </c>
      <c r="D235" s="15" t="s">
        <v>39</v>
      </c>
      <c r="H235" s="65"/>
      <c r="I235" s="164"/>
      <c r="J235" s="149"/>
      <c r="K235" s="149"/>
      <c r="L235" s="149"/>
      <c r="M235" s="65"/>
    </row>
    <row r="236" spans="2:13">
      <c r="B236" s="21" t="s">
        <v>38</v>
      </c>
      <c r="C236" s="53" t="s">
        <v>373</v>
      </c>
      <c r="D236" s="15" t="s">
        <v>22</v>
      </c>
      <c r="H236" s="65"/>
      <c r="I236" s="164"/>
      <c r="J236" s="149"/>
      <c r="K236" s="149"/>
      <c r="L236" s="149"/>
      <c r="M236" s="65"/>
    </row>
    <row r="237" spans="2:13">
      <c r="B237" s="21" t="s">
        <v>31</v>
      </c>
      <c r="C237" s="53">
        <v>72</v>
      </c>
      <c r="D237" s="15" t="s">
        <v>55</v>
      </c>
      <c r="H237" s="65"/>
      <c r="I237" s="164"/>
      <c r="J237" s="149"/>
      <c r="K237" s="149"/>
      <c r="L237" s="149"/>
      <c r="M237" s="65"/>
    </row>
    <row r="238" spans="2:13">
      <c r="B238" s="21" t="s">
        <v>12</v>
      </c>
      <c r="C238" s="258">
        <v>97.4</v>
      </c>
      <c r="D238" s="24" t="s">
        <v>13</v>
      </c>
      <c r="H238" s="65"/>
      <c r="I238" s="164"/>
      <c r="J238" s="149"/>
      <c r="K238" s="149"/>
      <c r="L238" s="149"/>
      <c r="M238" s="65"/>
    </row>
    <row r="239" spans="2:13">
      <c r="B239" s="21" t="s">
        <v>175</v>
      </c>
      <c r="C239" s="53">
        <v>597</v>
      </c>
      <c r="D239" s="15" t="s">
        <v>27</v>
      </c>
      <c r="H239" s="65"/>
      <c r="I239" s="164"/>
      <c r="J239" s="149"/>
      <c r="K239" s="149"/>
      <c r="L239" s="149"/>
      <c r="M239" s="65"/>
    </row>
    <row r="240" spans="2:13">
      <c r="B240" s="21" t="s">
        <v>28</v>
      </c>
      <c r="C240" s="53">
        <v>29000000</v>
      </c>
      <c r="D240" s="15" t="s">
        <v>15</v>
      </c>
      <c r="H240" s="65"/>
      <c r="I240" s="164"/>
      <c r="J240" s="149"/>
      <c r="K240" s="149"/>
      <c r="L240" s="149"/>
      <c r="M240" s="65"/>
    </row>
    <row r="241" spans="2:13" ht="13.5" thickBot="1">
      <c r="B241" s="21" t="s">
        <v>14</v>
      </c>
      <c r="C241" s="54">
        <v>22000</v>
      </c>
      <c r="D241" s="15" t="s">
        <v>15</v>
      </c>
      <c r="H241" s="65"/>
      <c r="I241" s="164"/>
      <c r="J241" s="149"/>
      <c r="K241" s="149"/>
      <c r="L241" s="149"/>
      <c r="M241" s="65"/>
    </row>
    <row r="242" spans="2:13">
      <c r="C242" s="32" t="s">
        <v>114</v>
      </c>
      <c r="D242" s="16"/>
      <c r="H242" s="65"/>
      <c r="I242" s="164"/>
      <c r="J242" s="149"/>
      <c r="K242" s="149"/>
      <c r="L242" s="149"/>
      <c r="M242" s="65"/>
    </row>
    <row r="243" spans="2:13">
      <c r="B243" s="21" t="s">
        <v>161</v>
      </c>
      <c r="C243" s="23" t="s">
        <v>162</v>
      </c>
      <c r="H243" s="65"/>
      <c r="I243" s="164"/>
      <c r="J243" s="149"/>
      <c r="K243" s="149"/>
      <c r="L243" s="149"/>
      <c r="M243" s="65"/>
    </row>
    <row r="244" spans="2:13">
      <c r="B244" s="19" t="s">
        <v>6</v>
      </c>
      <c r="C244" s="25">
        <f>12*C234</f>
        <v>216</v>
      </c>
      <c r="D244" s="15" t="s">
        <v>20</v>
      </c>
      <c r="H244" s="65"/>
      <c r="I244" s="164"/>
      <c r="J244" s="149"/>
      <c r="K244" s="149"/>
      <c r="L244" s="149"/>
      <c r="M244" s="65"/>
    </row>
    <row r="245" spans="2:13">
      <c r="B245" s="36" t="s">
        <v>61</v>
      </c>
      <c r="C245" s="23" t="s">
        <v>195</v>
      </c>
      <c r="H245" s="65"/>
      <c r="I245" s="164"/>
      <c r="J245" s="149"/>
      <c r="K245" s="149"/>
      <c r="L245" s="149"/>
      <c r="M245" s="65"/>
    </row>
    <row r="246" spans="2:13">
      <c r="B246" s="21" t="s">
        <v>6</v>
      </c>
      <c r="C246" s="25">
        <f>C244-C233</f>
        <v>116</v>
      </c>
      <c r="D246" s="15" t="s">
        <v>20</v>
      </c>
      <c r="H246" s="65"/>
      <c r="I246" s="164"/>
      <c r="J246" s="149"/>
      <c r="K246" s="149"/>
      <c r="L246" s="149"/>
      <c r="M246" s="65"/>
    </row>
    <row r="247" spans="2:13" ht="15.75">
      <c r="B247" s="21" t="s">
        <v>224</v>
      </c>
      <c r="C247" s="23" t="s">
        <v>196</v>
      </c>
      <c r="H247" s="65"/>
      <c r="I247" s="164"/>
      <c r="J247" s="149"/>
      <c r="K247" s="149"/>
      <c r="L247" s="149"/>
      <c r="M247" s="65"/>
    </row>
    <row r="248" spans="2:13">
      <c r="B248" s="19" t="s">
        <v>6</v>
      </c>
      <c r="C248" s="25">
        <f>C232*C246 / C244</f>
        <v>2685.1851851851852</v>
      </c>
      <c r="D248" s="15" t="s">
        <v>16</v>
      </c>
      <c r="H248" s="65"/>
      <c r="I248" s="164"/>
      <c r="J248" s="149"/>
      <c r="K248" s="149"/>
      <c r="L248" s="149"/>
      <c r="M248" s="65"/>
    </row>
    <row r="249" spans="2:13" ht="15.75">
      <c r="B249" s="21" t="s">
        <v>225</v>
      </c>
      <c r="C249" s="37" t="s">
        <v>63</v>
      </c>
      <c r="H249" s="65"/>
      <c r="I249" s="164"/>
      <c r="J249" s="149"/>
      <c r="K249" s="149"/>
      <c r="L249" s="149"/>
      <c r="M249" s="65"/>
    </row>
    <row r="250" spans="2:13">
      <c r="B250" s="21" t="s">
        <v>6</v>
      </c>
      <c r="C250" s="25">
        <f>-(C232-C248)</f>
        <v>-2314.8148148148148</v>
      </c>
      <c r="D250" s="15" t="s">
        <v>16</v>
      </c>
      <c r="H250" s="65"/>
      <c r="I250" s="164"/>
      <c r="J250" s="149"/>
      <c r="K250" s="149"/>
      <c r="L250" s="149"/>
      <c r="M250" s="65"/>
    </row>
    <row r="251" spans="2:13" ht="15.75">
      <c r="B251" s="21" t="s">
        <v>45</v>
      </c>
      <c r="C251" s="23" t="s">
        <v>248</v>
      </c>
      <c r="H251" s="65"/>
      <c r="I251" s="164"/>
      <c r="J251" s="149"/>
      <c r="K251" s="149"/>
      <c r="L251" s="149"/>
      <c r="M251" s="65"/>
    </row>
    <row r="252" spans="2:13">
      <c r="B252" s="19" t="s">
        <v>6</v>
      </c>
      <c r="C252" s="25">
        <f>C248*C233</f>
        <v>268518.51851851854</v>
      </c>
      <c r="D252" s="15" t="s">
        <v>21</v>
      </c>
      <c r="H252" s="65"/>
      <c r="I252" s="164"/>
      <c r="J252" s="149"/>
      <c r="K252" s="149"/>
      <c r="L252" s="149"/>
      <c r="M252" s="65"/>
    </row>
    <row r="253" spans="2:13" ht="16.5" thickBot="1">
      <c r="B253" s="21" t="s">
        <v>249</v>
      </c>
      <c r="C253" s="23" t="s">
        <v>62</v>
      </c>
      <c r="H253" s="65"/>
      <c r="I253" s="164"/>
      <c r="J253" s="149"/>
      <c r="K253" s="149"/>
      <c r="L253" s="149"/>
      <c r="M253" s="65"/>
    </row>
    <row r="254" spans="2:13" ht="13.5" thickBot="1">
      <c r="B254" s="21" t="s">
        <v>6</v>
      </c>
      <c r="C254" s="25">
        <f>$C$74*$C$61</f>
        <v>700000</v>
      </c>
      <c r="D254" s="15" t="s">
        <v>21</v>
      </c>
      <c r="E254" s="123" t="str">
        <f>IF(C235&lt;C233,"x &lt; a, Not OK","x &gt; a OK")</f>
        <v>x &gt; a OK</v>
      </c>
      <c r="H254" s="65"/>
      <c r="I254" s="164"/>
      <c r="J254" s="149"/>
      <c r="K254" s="149"/>
      <c r="L254" s="149"/>
      <c r="M254" s="65"/>
    </row>
    <row r="255" spans="2:13">
      <c r="H255" s="65"/>
      <c r="I255" s="164"/>
      <c r="J255" s="149"/>
      <c r="K255" s="149"/>
      <c r="L255" s="149"/>
      <c r="M255" s="65"/>
    </row>
    <row r="256" spans="2:13" ht="15.75">
      <c r="B256" s="103" t="s">
        <v>331</v>
      </c>
      <c r="H256" s="65"/>
      <c r="I256" s="164"/>
      <c r="J256" s="149"/>
      <c r="K256" s="149"/>
      <c r="L256" s="149"/>
      <c r="M256" s="65"/>
    </row>
    <row r="257" spans="2:13">
      <c r="B257" s="35" t="s">
        <v>190</v>
      </c>
      <c r="H257" s="65"/>
      <c r="I257" s="164"/>
      <c r="J257" s="149"/>
      <c r="K257" s="149"/>
      <c r="L257" s="149"/>
      <c r="M257" s="65"/>
    </row>
    <row r="258" spans="2:13">
      <c r="H258" s="65"/>
      <c r="I258" s="164"/>
      <c r="J258" s="149"/>
      <c r="K258" s="149"/>
      <c r="L258" s="149"/>
      <c r="M258" s="65"/>
    </row>
    <row r="259" spans="2:13">
      <c r="H259" s="65"/>
      <c r="I259" s="164"/>
      <c r="J259" s="149"/>
      <c r="K259" s="149"/>
      <c r="L259" s="149"/>
      <c r="M259" s="65"/>
    </row>
    <row r="260" spans="2:13">
      <c r="H260" s="65"/>
      <c r="I260" s="164"/>
      <c r="J260" s="149"/>
      <c r="K260" s="149"/>
      <c r="L260" s="149"/>
      <c r="M260" s="65"/>
    </row>
    <row r="261" spans="2:13">
      <c r="F261" s="102"/>
      <c r="H261" s="65"/>
      <c r="I261" s="164"/>
      <c r="J261" s="149"/>
      <c r="K261" s="149"/>
      <c r="L261" s="149"/>
      <c r="M261" s="65"/>
    </row>
    <row r="262" spans="2:13">
      <c r="H262" s="65"/>
      <c r="I262" s="164"/>
      <c r="J262" s="149"/>
      <c r="K262" s="149"/>
      <c r="L262" s="149"/>
      <c r="M262" s="65"/>
    </row>
    <row r="263" spans="2:13">
      <c r="H263" s="65"/>
      <c r="I263" s="164"/>
      <c r="J263" s="149"/>
      <c r="K263" s="149"/>
      <c r="L263" s="149"/>
      <c r="M263" s="65"/>
    </row>
    <row r="264" spans="2:13">
      <c r="H264" s="65"/>
      <c r="I264" s="164"/>
      <c r="J264" s="149"/>
      <c r="K264" s="149"/>
      <c r="L264" s="149"/>
      <c r="M264" s="65"/>
    </row>
    <row r="265" spans="2:13">
      <c r="H265" s="65"/>
      <c r="I265" s="164"/>
      <c r="J265" s="149"/>
      <c r="K265" s="149"/>
      <c r="L265" s="149"/>
      <c r="M265" s="65"/>
    </row>
    <row r="266" spans="2:13">
      <c r="H266" s="65"/>
      <c r="I266" s="164"/>
      <c r="J266" s="149"/>
      <c r="K266" s="149"/>
      <c r="L266" s="149"/>
      <c r="M266" s="65"/>
    </row>
    <row r="267" spans="2:13">
      <c r="H267" s="65"/>
      <c r="I267" s="164"/>
      <c r="J267" s="149"/>
      <c r="K267" s="149"/>
      <c r="L267" s="149"/>
      <c r="M267" s="65"/>
    </row>
    <row r="268" spans="2:13">
      <c r="H268" s="65"/>
      <c r="I268" s="164"/>
      <c r="J268" s="149"/>
      <c r="K268" s="149"/>
      <c r="L268" s="149"/>
      <c r="M268" s="65"/>
    </row>
    <row r="269" spans="2:13">
      <c r="G269" s="14"/>
      <c r="H269" s="65"/>
      <c r="I269" s="164"/>
      <c r="J269" s="149"/>
      <c r="K269" s="149"/>
      <c r="L269" s="149"/>
      <c r="M269" s="65"/>
    </row>
    <row r="270" spans="2:13">
      <c r="H270" s="65"/>
      <c r="I270" s="164"/>
      <c r="J270" s="149"/>
      <c r="K270" s="149"/>
      <c r="L270" s="149"/>
      <c r="M270" s="65"/>
    </row>
    <row r="271" spans="2:13">
      <c r="G271" s="14"/>
      <c r="H271" s="65"/>
      <c r="I271" s="164"/>
      <c r="J271" s="149"/>
      <c r="K271" s="149"/>
      <c r="L271" s="149"/>
      <c r="M271" s="65"/>
    </row>
    <row r="272" spans="2:13">
      <c r="G272" s="14"/>
      <c r="H272" s="65"/>
      <c r="I272" s="164"/>
      <c r="J272" s="149"/>
      <c r="K272" s="149"/>
      <c r="L272" s="149"/>
      <c r="M272" s="65"/>
    </row>
    <row r="273" spans="7:13">
      <c r="G273" s="14"/>
      <c r="H273" s="65"/>
      <c r="I273" s="164"/>
      <c r="J273" s="149"/>
      <c r="K273" s="149"/>
      <c r="L273" s="149"/>
      <c r="M273" s="65"/>
    </row>
    <row r="274" spans="7:13">
      <c r="G274" s="14"/>
      <c r="H274" s="65"/>
      <c r="I274" s="164"/>
      <c r="J274" s="149"/>
      <c r="K274" s="149"/>
      <c r="L274" s="149"/>
      <c r="M274" s="65"/>
    </row>
    <row r="275" spans="7:13">
      <c r="H275" s="65"/>
      <c r="I275" s="164"/>
      <c r="J275" s="149"/>
      <c r="K275" s="149"/>
      <c r="L275" s="149"/>
      <c r="M275" s="65"/>
    </row>
    <row r="276" spans="7:13">
      <c r="H276" s="65"/>
      <c r="I276" s="164"/>
      <c r="J276" s="149"/>
      <c r="K276" s="149"/>
      <c r="L276" s="149"/>
      <c r="M276" s="65"/>
    </row>
    <row r="277" spans="7:13">
      <c r="H277" s="65"/>
      <c r="I277" s="164"/>
      <c r="J277" s="149"/>
      <c r="K277" s="149"/>
      <c r="L277" s="149"/>
      <c r="M277" s="65"/>
    </row>
    <row r="278" spans="7:13">
      <c r="H278" s="65"/>
      <c r="I278" s="164"/>
      <c r="J278" s="149"/>
      <c r="K278" s="149"/>
      <c r="L278" s="149"/>
      <c r="M278" s="65"/>
    </row>
    <row r="279" spans="7:13">
      <c r="H279" s="65"/>
      <c r="I279" s="164"/>
      <c r="J279" s="149"/>
      <c r="K279" s="149"/>
      <c r="L279" s="149"/>
      <c r="M279" s="65"/>
    </row>
    <row r="280" spans="7:13">
      <c r="H280" s="65"/>
      <c r="I280" s="164"/>
      <c r="J280" s="149"/>
      <c r="K280" s="149"/>
      <c r="L280" s="149"/>
      <c r="M280" s="65"/>
    </row>
    <row r="281" spans="7:13">
      <c r="H281" s="65"/>
      <c r="I281" s="164"/>
      <c r="J281" s="149"/>
      <c r="K281" s="149"/>
      <c r="L281" s="149"/>
      <c r="M281" s="65"/>
    </row>
    <row r="282" spans="7:13">
      <c r="H282" s="65"/>
      <c r="I282" s="164"/>
      <c r="J282" s="149"/>
      <c r="K282" s="149"/>
      <c r="L282" s="149"/>
      <c r="M282" s="65"/>
    </row>
    <row r="283" spans="7:13">
      <c r="H283" s="65"/>
      <c r="I283" s="164"/>
      <c r="J283" s="149"/>
      <c r="K283" s="149"/>
      <c r="L283" s="149"/>
      <c r="M283" s="65"/>
    </row>
    <row r="284" spans="7:13">
      <c r="H284" s="65"/>
      <c r="I284" s="164"/>
      <c r="J284" s="149"/>
      <c r="K284" s="149"/>
      <c r="L284" s="149"/>
      <c r="M284" s="65"/>
    </row>
    <row r="285" spans="7:13">
      <c r="H285" s="65"/>
      <c r="I285" s="164"/>
      <c r="J285" s="149"/>
      <c r="K285" s="149"/>
      <c r="L285" s="149"/>
      <c r="M285" s="65"/>
    </row>
    <row r="286" spans="7:13">
      <c r="H286" s="65"/>
      <c r="I286" s="164"/>
      <c r="J286" s="149"/>
      <c r="K286" s="149"/>
      <c r="L286" s="149"/>
      <c r="M286" s="65"/>
    </row>
    <row r="287" spans="7:13">
      <c r="H287" s="65"/>
      <c r="I287" s="164"/>
      <c r="J287" s="149"/>
      <c r="K287" s="149"/>
      <c r="L287" s="149"/>
      <c r="M287" s="65"/>
    </row>
    <row r="288" spans="7:13">
      <c r="H288" s="65"/>
      <c r="I288" s="164"/>
      <c r="J288" s="149"/>
      <c r="K288" s="149"/>
      <c r="L288" s="149"/>
      <c r="M288" s="65"/>
    </row>
    <row r="289" spans="2:13">
      <c r="H289" s="65"/>
      <c r="I289" s="164"/>
      <c r="J289" s="149"/>
      <c r="K289" s="149"/>
      <c r="L289" s="149"/>
      <c r="M289" s="65"/>
    </row>
    <row r="290" spans="2:13">
      <c r="H290" s="65"/>
      <c r="I290" s="164"/>
      <c r="J290" s="149"/>
      <c r="K290" s="149"/>
      <c r="L290" s="149"/>
      <c r="M290" s="65"/>
    </row>
    <row r="291" spans="2:13">
      <c r="H291" s="65"/>
      <c r="I291" s="164"/>
      <c r="J291" s="149"/>
      <c r="K291" s="149"/>
      <c r="L291" s="149"/>
      <c r="M291" s="65"/>
    </row>
    <row r="292" spans="2:13">
      <c r="H292" s="65"/>
      <c r="I292" s="164"/>
      <c r="J292" s="149"/>
      <c r="K292" s="149"/>
      <c r="L292" s="149"/>
      <c r="M292" s="65"/>
    </row>
    <row r="293" spans="2:13">
      <c r="H293" s="65"/>
      <c r="I293" s="164"/>
      <c r="J293" s="149"/>
      <c r="K293" s="149"/>
      <c r="L293" s="149"/>
      <c r="M293" s="65"/>
    </row>
    <row r="294" spans="2:13" ht="13.5" thickBot="1">
      <c r="B294" s="119" t="s">
        <v>189</v>
      </c>
      <c r="C294" s="77"/>
      <c r="D294" s="104"/>
      <c r="E294" s="43" t="s">
        <v>10</v>
      </c>
      <c r="F294" s="93"/>
      <c r="G294" s="43" t="s">
        <v>10</v>
      </c>
      <c r="H294" s="65"/>
      <c r="I294" s="164"/>
      <c r="J294" s="149"/>
      <c r="K294" s="149"/>
      <c r="L294" s="149"/>
      <c r="M294" s="65"/>
    </row>
    <row r="295" spans="2:13">
      <c r="B295" s="117"/>
      <c r="C295" s="116" t="s">
        <v>79</v>
      </c>
      <c r="D295" s="107"/>
      <c r="E295" s="105" t="s">
        <v>77</v>
      </c>
      <c r="F295" s="114"/>
      <c r="G295" s="105" t="s">
        <v>78</v>
      </c>
      <c r="H295" s="65"/>
      <c r="I295" s="164"/>
      <c r="J295" s="149"/>
      <c r="K295" s="149"/>
      <c r="L295" s="149"/>
      <c r="M295" s="65"/>
    </row>
    <row r="296" spans="2:13" ht="13.5" thickBot="1">
      <c r="B296" s="118"/>
      <c r="C296" s="59" t="s">
        <v>83</v>
      </c>
      <c r="D296" s="108"/>
      <c r="E296" s="106" t="s">
        <v>82</v>
      </c>
      <c r="F296" s="115"/>
      <c r="G296" s="106" t="s">
        <v>84</v>
      </c>
      <c r="H296" s="65"/>
      <c r="I296" s="164"/>
      <c r="J296" s="149"/>
      <c r="K296" s="149"/>
      <c r="L296" s="149"/>
      <c r="M296" s="65"/>
    </row>
    <row r="297" spans="2:13">
      <c r="B297" s="112" t="s">
        <v>109</v>
      </c>
      <c r="C297" s="60">
        <v>5000</v>
      </c>
      <c r="D297" s="109" t="s">
        <v>101</v>
      </c>
      <c r="E297" s="146">
        <v>50</v>
      </c>
      <c r="F297" s="112" t="s">
        <v>105</v>
      </c>
      <c r="G297" s="146">
        <v>268519</v>
      </c>
      <c r="H297" s="65"/>
      <c r="I297" s="164"/>
      <c r="J297" s="149"/>
      <c r="K297" s="149"/>
      <c r="L297" s="149"/>
      <c r="M297" s="65"/>
    </row>
    <row r="298" spans="2:13">
      <c r="B298" s="112" t="s">
        <v>110</v>
      </c>
      <c r="C298" s="60">
        <v>6000</v>
      </c>
      <c r="D298" s="110" t="s">
        <v>102</v>
      </c>
      <c r="E298" s="146">
        <v>100</v>
      </c>
      <c r="F298" s="112" t="s">
        <v>106</v>
      </c>
      <c r="G298" s="146">
        <v>322222</v>
      </c>
      <c r="H298" s="65"/>
      <c r="I298" s="164"/>
      <c r="J298" s="149"/>
      <c r="K298" s="149"/>
      <c r="L298" s="149"/>
      <c r="M298" s="65"/>
    </row>
    <row r="299" spans="2:13">
      <c r="B299" s="112" t="s">
        <v>111</v>
      </c>
      <c r="C299" s="60">
        <v>7000</v>
      </c>
      <c r="D299" s="110" t="s">
        <v>103</v>
      </c>
      <c r="E299" s="146">
        <v>150</v>
      </c>
      <c r="F299" s="69" t="s">
        <v>107</v>
      </c>
      <c r="G299" s="146">
        <v>320833</v>
      </c>
      <c r="H299" s="65"/>
      <c r="I299" s="164"/>
      <c r="J299" s="149"/>
      <c r="K299" s="149"/>
      <c r="L299" s="149"/>
      <c r="M299" s="65"/>
    </row>
    <row r="300" spans="2:13" ht="13.5" thickBot="1">
      <c r="B300" s="113" t="s">
        <v>112</v>
      </c>
      <c r="C300" s="61">
        <v>8000</v>
      </c>
      <c r="D300" s="111" t="s">
        <v>104</v>
      </c>
      <c r="E300" s="147">
        <v>200</v>
      </c>
      <c r="F300" s="113" t="s">
        <v>108</v>
      </c>
      <c r="G300" s="147">
        <v>118519</v>
      </c>
      <c r="H300" s="65"/>
      <c r="I300" s="164"/>
      <c r="J300" s="149"/>
      <c r="K300" s="149"/>
      <c r="L300" s="149"/>
      <c r="M300" s="65"/>
    </row>
    <row r="301" spans="2:13" ht="13.5" thickBot="1">
      <c r="B301" s="21" t="s">
        <v>113</v>
      </c>
      <c r="C301" s="71">
        <f>SUM(C297:C300)</f>
        <v>26000</v>
      </c>
      <c r="D301" s="13"/>
      <c r="E301" s="14"/>
      <c r="F301" s="14"/>
      <c r="G301" s="14"/>
      <c r="H301" s="65"/>
      <c r="I301" s="164"/>
      <c r="J301" s="149"/>
      <c r="K301" s="149"/>
      <c r="L301" s="149"/>
      <c r="M301" s="65"/>
    </row>
    <row r="302" spans="2:13">
      <c r="B302" s="19"/>
      <c r="C302" s="32" t="s">
        <v>114</v>
      </c>
      <c r="D302" s="16"/>
      <c r="H302" s="65"/>
      <c r="I302" s="164"/>
      <c r="J302" s="149"/>
      <c r="K302" s="149"/>
      <c r="L302" s="149"/>
      <c r="M302" s="65"/>
    </row>
    <row r="303" spans="2:13">
      <c r="B303" s="36" t="s">
        <v>88</v>
      </c>
      <c r="C303" s="14" t="s">
        <v>206</v>
      </c>
      <c r="D303" s="25">
        <f>C70-E297</f>
        <v>190</v>
      </c>
      <c r="E303" s="15" t="s">
        <v>29</v>
      </c>
      <c r="H303" s="65"/>
      <c r="I303" s="164"/>
      <c r="J303" s="149"/>
      <c r="K303" s="149"/>
      <c r="L303" s="149"/>
      <c r="M303" s="65"/>
    </row>
    <row r="304" spans="2:13">
      <c r="B304" s="36" t="s">
        <v>87</v>
      </c>
      <c r="C304" s="14" t="s">
        <v>207</v>
      </c>
      <c r="D304" s="25">
        <f>C70-E298</f>
        <v>140</v>
      </c>
      <c r="E304" s="15" t="s">
        <v>20</v>
      </c>
      <c r="H304" s="65"/>
      <c r="I304" s="164"/>
      <c r="J304" s="149"/>
      <c r="K304" s="149"/>
      <c r="L304" s="149"/>
      <c r="M304" s="65"/>
    </row>
    <row r="305" spans="2:13">
      <c r="B305" s="36" t="s">
        <v>86</v>
      </c>
      <c r="C305" s="14" t="s">
        <v>208</v>
      </c>
      <c r="D305" s="25">
        <f>C70-E299</f>
        <v>90</v>
      </c>
      <c r="E305" s="23" t="s">
        <v>20</v>
      </c>
      <c r="H305" s="65"/>
      <c r="I305" s="164"/>
      <c r="J305" s="149"/>
      <c r="K305" s="149"/>
      <c r="L305" s="149"/>
      <c r="M305" s="65"/>
    </row>
    <row r="306" spans="2:13">
      <c r="B306" s="36" t="s">
        <v>85</v>
      </c>
      <c r="C306" s="14" t="s">
        <v>209</v>
      </c>
      <c r="D306" s="25">
        <f>C70-E300</f>
        <v>40</v>
      </c>
      <c r="E306" s="23" t="s">
        <v>20</v>
      </c>
      <c r="H306" s="65"/>
      <c r="I306" s="164"/>
      <c r="J306" s="149"/>
      <c r="K306" s="149"/>
      <c r="L306" s="149"/>
      <c r="M306" s="65"/>
    </row>
    <row r="307" spans="2:13">
      <c r="C307" s="15"/>
      <c r="D307" s="13"/>
      <c r="E307" s="14"/>
      <c r="F307" s="14"/>
      <c r="H307" s="65"/>
      <c r="I307" s="164"/>
      <c r="J307" s="149"/>
      <c r="K307" s="149"/>
      <c r="L307" s="149"/>
      <c r="M307" s="65"/>
    </row>
    <row r="308" spans="2:13" ht="15.75">
      <c r="B308" s="21" t="s">
        <v>49</v>
      </c>
      <c r="C308" s="23" t="s">
        <v>210</v>
      </c>
      <c r="F308" s="14"/>
      <c r="H308" s="65"/>
      <c r="I308" s="164"/>
      <c r="J308" s="149"/>
      <c r="K308" s="149"/>
      <c r="L308" s="149"/>
      <c r="M308" s="65"/>
    </row>
    <row r="309" spans="2:13">
      <c r="B309" s="19" t="s">
        <v>6</v>
      </c>
      <c r="C309" s="25">
        <f>(C297 * D303 / C70)+(C298 * D304 /C70)+(C299 * D305 /C70)+(C300 * D306 /C70)</f>
        <v>11416.666666666668</v>
      </c>
      <c r="D309" s="15" t="s">
        <v>16</v>
      </c>
      <c r="F309" s="14"/>
      <c r="H309" s="65"/>
      <c r="I309" s="164"/>
      <c r="J309" s="149"/>
      <c r="K309" s="149"/>
      <c r="L309" s="149"/>
      <c r="M309" s="65"/>
    </row>
    <row r="310" spans="2:13" ht="15.75">
      <c r="B310" s="21" t="s">
        <v>50</v>
      </c>
      <c r="C310" s="23" t="s">
        <v>80</v>
      </c>
      <c r="F310" s="14"/>
      <c r="H310" s="65"/>
      <c r="I310" s="164"/>
      <c r="J310" s="149"/>
      <c r="K310" s="149"/>
      <c r="L310" s="149"/>
      <c r="M310" s="65"/>
    </row>
    <row r="311" spans="2:13">
      <c r="B311" s="21" t="s">
        <v>6</v>
      </c>
      <c r="C311" s="25">
        <f>C301-C309</f>
        <v>14583.333333333332</v>
      </c>
      <c r="D311" s="15" t="s">
        <v>16</v>
      </c>
      <c r="F311" s="14"/>
      <c r="H311" s="65"/>
      <c r="I311" s="164"/>
      <c r="J311" s="149"/>
      <c r="K311" s="149"/>
      <c r="L311" s="149"/>
      <c r="M311" s="65"/>
    </row>
    <row r="312" spans="2:13">
      <c r="B312" s="21" t="s">
        <v>92</v>
      </c>
      <c r="C312" s="23" t="s">
        <v>81</v>
      </c>
      <c r="F312" s="14"/>
      <c r="H312" s="65"/>
      <c r="I312" s="164"/>
      <c r="J312" s="149"/>
      <c r="K312" s="149"/>
      <c r="L312" s="149"/>
      <c r="M312" s="65"/>
    </row>
    <row r="313" spans="2:13">
      <c r="B313" s="21" t="s">
        <v>6</v>
      </c>
      <c r="C313" s="25" t="s">
        <v>90</v>
      </c>
      <c r="F313" s="14"/>
      <c r="H313" s="65"/>
      <c r="I313" s="164"/>
      <c r="J313" s="149"/>
      <c r="K313" s="149"/>
      <c r="L313" s="149"/>
      <c r="M313" s="65"/>
    </row>
    <row r="314" spans="2:13">
      <c r="B314" s="21" t="s">
        <v>6</v>
      </c>
      <c r="C314" s="51">
        <f>G297 + G298*E297/E298 + G299*E297/E299 +G300*E297/E300</f>
        <v>566204.08333333337</v>
      </c>
      <c r="D314" s="14"/>
      <c r="E314" s="14"/>
      <c r="F314" s="14"/>
      <c r="H314" s="65"/>
      <c r="I314" s="164"/>
      <c r="J314" s="149"/>
      <c r="K314" s="149"/>
      <c r="L314" s="149"/>
      <c r="M314" s="65"/>
    </row>
    <row r="315" spans="2:13">
      <c r="B315" s="21" t="s">
        <v>93</v>
      </c>
      <c r="C315" s="23" t="s">
        <v>91</v>
      </c>
      <c r="F315" s="14"/>
      <c r="H315" s="65"/>
      <c r="I315" s="164"/>
      <c r="J315" s="149"/>
      <c r="K315" s="149"/>
      <c r="L315" s="149"/>
      <c r="M315" s="65"/>
    </row>
    <row r="316" spans="2:13">
      <c r="B316" s="21" t="s">
        <v>6</v>
      </c>
      <c r="C316" s="25" t="s">
        <v>94</v>
      </c>
      <c r="F316" s="14"/>
      <c r="H316" s="65"/>
      <c r="I316" s="164"/>
      <c r="J316" s="149"/>
      <c r="K316" s="149"/>
      <c r="L316" s="149"/>
      <c r="M316" s="65"/>
    </row>
    <row r="317" spans="2:13">
      <c r="B317" s="21" t="s">
        <v>6</v>
      </c>
      <c r="C317" s="51">
        <f>G297*D304/D303 + G298 + G299*E298/E299 + G300*E298/E300</f>
        <v>793226.27192982449</v>
      </c>
      <c r="D317" s="14"/>
      <c r="E317" s="14"/>
      <c r="F317" s="14"/>
      <c r="H317" s="65"/>
      <c r="I317" s="164"/>
      <c r="J317" s="149"/>
      <c r="K317" s="149"/>
      <c r="L317" s="149"/>
      <c r="M317" s="65"/>
    </row>
    <row r="318" spans="2:13">
      <c r="B318" s="21" t="s">
        <v>95</v>
      </c>
      <c r="C318" s="23" t="s">
        <v>96</v>
      </c>
      <c r="F318" s="14"/>
      <c r="H318" s="65"/>
      <c r="I318" s="164"/>
      <c r="J318" s="149"/>
      <c r="K318" s="149"/>
      <c r="L318" s="149"/>
      <c r="M318" s="65"/>
    </row>
    <row r="319" spans="2:13">
      <c r="B319" s="21" t="s">
        <v>6</v>
      </c>
      <c r="C319" s="25" t="s">
        <v>97</v>
      </c>
      <c r="F319" s="14"/>
      <c r="H319" s="65"/>
      <c r="I319" s="164"/>
      <c r="J319" s="149"/>
      <c r="K319" s="149"/>
      <c r="L319" s="149"/>
      <c r="M319" s="65"/>
    </row>
    <row r="320" spans="2:13">
      <c r="B320" s="21" t="s">
        <v>6</v>
      </c>
      <c r="C320" s="51">
        <f>G297*D305/D303 + G298*D305/D304 + G299 + G300*E299/E300</f>
        <v>744058.17481203005</v>
      </c>
      <c r="D320" s="14"/>
      <c r="E320" s="14"/>
      <c r="F320" s="14"/>
      <c r="H320" s="65"/>
      <c r="I320" s="164"/>
      <c r="J320" s="149"/>
      <c r="K320" s="149"/>
      <c r="L320" s="149"/>
      <c r="M320" s="65"/>
    </row>
    <row r="321" spans="2:13">
      <c r="B321" s="21" t="s">
        <v>98</v>
      </c>
      <c r="C321" s="23" t="s">
        <v>99</v>
      </c>
      <c r="F321" s="14"/>
      <c r="H321" s="65"/>
      <c r="I321" s="164"/>
      <c r="J321" s="149"/>
      <c r="K321" s="149"/>
      <c r="L321" s="149"/>
      <c r="M321" s="65"/>
    </row>
    <row r="322" spans="2:13">
      <c r="B322" s="21" t="s">
        <v>6</v>
      </c>
      <c r="C322" s="25" t="s">
        <v>100</v>
      </c>
      <c r="F322" s="14"/>
      <c r="H322" s="65"/>
      <c r="I322" s="164"/>
      <c r="J322" s="149"/>
      <c r="K322" s="149"/>
      <c r="L322" s="149"/>
      <c r="M322" s="65"/>
    </row>
    <row r="323" spans="2:13">
      <c r="B323" s="21" t="s">
        <v>6</v>
      </c>
      <c r="C323" s="51">
        <f>G297*D306/D303 + G298*D306/D305 + G299*D306/D305 + G300</f>
        <v>460851.5380116959</v>
      </c>
      <c r="D323" s="14"/>
      <c r="E323" s="14"/>
      <c r="F323" s="14"/>
      <c r="H323" s="65"/>
      <c r="I323" s="164"/>
      <c r="J323" s="149"/>
      <c r="K323" s="149"/>
      <c r="L323" s="149"/>
      <c r="M323" s="65"/>
    </row>
    <row r="324" spans="2:13">
      <c r="H324" s="65"/>
      <c r="I324" s="164"/>
      <c r="J324" s="149"/>
      <c r="K324" s="149"/>
      <c r="L324" s="149"/>
      <c r="M324" s="65"/>
    </row>
    <row r="325" spans="2:13" ht="13.5" thickBot="1">
      <c r="C325" s="32" t="s">
        <v>115</v>
      </c>
      <c r="H325" s="65"/>
      <c r="I325" s="164"/>
      <c r="J325" s="149"/>
      <c r="K325" s="149"/>
      <c r="L325" s="149"/>
      <c r="M325" s="65"/>
    </row>
    <row r="326" spans="2:13" ht="13.5" thickBot="1">
      <c r="B326" s="21" t="s">
        <v>89</v>
      </c>
      <c r="C326" s="148">
        <v>783010</v>
      </c>
      <c r="D326" s="15" t="s">
        <v>21</v>
      </c>
      <c r="H326" s="65"/>
      <c r="I326" s="164"/>
      <c r="J326" s="149"/>
      <c r="K326" s="149"/>
      <c r="L326" s="149"/>
      <c r="M326" s="65"/>
    </row>
    <row r="327" spans="2:13">
      <c r="C327" s="32" t="s">
        <v>114</v>
      </c>
      <c r="H327" s="65"/>
      <c r="I327" s="164"/>
      <c r="J327" s="149"/>
      <c r="K327" s="149"/>
      <c r="L327" s="149"/>
      <c r="M327" s="65"/>
    </row>
    <row r="328" spans="2:13">
      <c r="B328" s="21" t="s">
        <v>56</v>
      </c>
      <c r="C328" s="23" t="s">
        <v>25</v>
      </c>
      <c r="H328" s="65"/>
      <c r="I328" s="164"/>
      <c r="J328" s="149"/>
      <c r="K328" s="149"/>
      <c r="L328" s="149"/>
      <c r="M328" s="65"/>
    </row>
    <row r="329" spans="2:13">
      <c r="B329" s="21" t="s">
        <v>6</v>
      </c>
      <c r="C329" s="25">
        <f>C326/C238</f>
        <v>8039.1170431211494</v>
      </c>
      <c r="D329" s="15" t="s">
        <v>15</v>
      </c>
      <c r="H329" s="65"/>
      <c r="I329" s="164"/>
      <c r="J329" s="149"/>
      <c r="K329" s="149"/>
      <c r="L329" s="149"/>
      <c r="M329" s="65"/>
    </row>
    <row r="330" spans="2:13">
      <c r="B330" s="21" t="s">
        <v>57</v>
      </c>
      <c r="C330" s="23" t="s">
        <v>58</v>
      </c>
      <c r="D330" s="24"/>
      <c r="H330" s="65"/>
      <c r="I330" s="164"/>
      <c r="J330" s="149"/>
      <c r="K330" s="149"/>
      <c r="L330" s="149"/>
      <c r="M330" s="65"/>
    </row>
    <row r="331" spans="2:13" ht="13.5" thickBot="1">
      <c r="B331" s="21" t="s">
        <v>6</v>
      </c>
      <c r="C331" s="26">
        <f>C241/C329</f>
        <v>2.7366189448410623</v>
      </c>
      <c r="D331" s="45" t="str">
        <f>IF(C331&lt;2,"SFx &lt; 2.00, Not OK","SFx &gt; 2.00,  OK")</f>
        <v>SFx &gt; 2.00,  OK</v>
      </c>
      <c r="E331"/>
      <c r="H331" s="65"/>
      <c r="I331" s="164"/>
      <c r="J331" s="149"/>
      <c r="K331" s="149"/>
      <c r="L331" s="149"/>
      <c r="M331" s="65"/>
    </row>
    <row r="332" spans="2:13">
      <c r="H332" s="65"/>
      <c r="I332" s="164"/>
      <c r="J332" s="149"/>
      <c r="K332" s="149"/>
      <c r="L332" s="149"/>
      <c r="M332" s="65"/>
    </row>
    <row r="333" spans="2:13">
      <c r="B333" s="58"/>
      <c r="C333" s="58"/>
      <c r="D333" s="58"/>
      <c r="E333" s="58"/>
      <c r="F333" s="58"/>
      <c r="H333" s="65"/>
      <c r="I333" s="164"/>
      <c r="J333" s="149"/>
      <c r="K333" s="149"/>
      <c r="L333" s="149"/>
      <c r="M333" s="65"/>
    </row>
    <row r="334" spans="2:13" ht="15.75">
      <c r="B334" s="103" t="s">
        <v>313</v>
      </c>
      <c r="C334"/>
      <c r="D334"/>
      <c r="E334"/>
      <c r="F334" s="41"/>
      <c r="H334" s="65"/>
      <c r="I334" s="164"/>
      <c r="J334" s="149"/>
      <c r="K334" s="149"/>
      <c r="L334" s="149"/>
      <c r="M334" s="65"/>
    </row>
    <row r="335" spans="2:13">
      <c r="B335" s="35" t="s">
        <v>74</v>
      </c>
      <c r="C335"/>
      <c r="D335"/>
      <c r="E335"/>
      <c r="F335"/>
      <c r="H335" s="65"/>
      <c r="I335" s="164"/>
      <c r="J335" s="149"/>
      <c r="K335" s="149"/>
      <c r="L335" s="149"/>
      <c r="M335" s="65"/>
    </row>
    <row r="336" spans="2:13">
      <c r="B336" s="63"/>
      <c r="C336"/>
      <c r="D336"/>
      <c r="E336"/>
      <c r="F336"/>
      <c r="H336" s="65"/>
      <c r="I336" s="164"/>
      <c r="J336" s="149"/>
      <c r="K336" s="149"/>
      <c r="L336" s="149"/>
      <c r="M336" s="65"/>
    </row>
    <row r="337" spans="2:13">
      <c r="B337" s="63"/>
      <c r="C337"/>
      <c r="D337"/>
      <c r="E337"/>
      <c r="F337"/>
      <c r="H337" s="65"/>
      <c r="I337" s="164"/>
      <c r="J337" s="149"/>
      <c r="K337" s="149"/>
      <c r="L337" s="149"/>
      <c r="M337" s="65"/>
    </row>
    <row r="338" spans="2:13">
      <c r="B338" s="63"/>
      <c r="C338"/>
      <c r="D338"/>
      <c r="E338"/>
      <c r="F338"/>
      <c r="H338" s="65"/>
      <c r="I338" s="164"/>
      <c r="J338" s="149"/>
      <c r="K338" s="149"/>
      <c r="L338" s="149"/>
      <c r="M338" s="65"/>
    </row>
    <row r="339" spans="2:13">
      <c r="B339" s="63"/>
      <c r="C339"/>
      <c r="D339"/>
      <c r="E339"/>
      <c r="F339"/>
      <c r="H339" s="65"/>
      <c r="I339" s="164"/>
      <c r="J339" s="149"/>
      <c r="K339" s="149"/>
      <c r="L339" s="149"/>
      <c r="M339" s="65"/>
    </row>
    <row r="340" spans="2:13">
      <c r="B340" s="63"/>
      <c r="C340"/>
      <c r="D340"/>
      <c r="E340"/>
      <c r="F340"/>
      <c r="H340" s="65"/>
      <c r="I340" s="164"/>
      <c r="J340" s="149"/>
      <c r="K340" s="149"/>
      <c r="L340" s="149"/>
      <c r="M340" s="65"/>
    </row>
    <row r="341" spans="2:13">
      <c r="B341" s="63"/>
      <c r="C341"/>
      <c r="D341"/>
      <c r="E341"/>
      <c r="F341"/>
      <c r="H341" s="65"/>
      <c r="I341" s="164"/>
      <c r="J341" s="149"/>
      <c r="K341" s="149"/>
      <c r="L341" s="149"/>
      <c r="M341" s="65"/>
    </row>
    <row r="342" spans="2:13">
      <c r="B342" s="63"/>
      <c r="C342"/>
      <c r="D342"/>
      <c r="E342"/>
      <c r="F342"/>
      <c r="H342" s="65"/>
      <c r="I342" s="164"/>
      <c r="J342" s="149"/>
      <c r="K342" s="149"/>
      <c r="L342" s="149"/>
      <c r="M342" s="65"/>
    </row>
    <row r="343" spans="2:13">
      <c r="B343" s="63"/>
      <c r="C343"/>
      <c r="D343"/>
      <c r="E343"/>
      <c r="F343"/>
      <c r="H343" s="65"/>
      <c r="I343" s="164"/>
      <c r="J343" s="149"/>
      <c r="K343" s="149"/>
      <c r="L343" s="149"/>
      <c r="M343" s="65"/>
    </row>
    <row r="344" spans="2:13">
      <c r="B344" s="63"/>
      <c r="C344"/>
      <c r="D344"/>
      <c r="E344"/>
      <c r="F344"/>
      <c r="H344" s="65"/>
      <c r="I344" s="164"/>
      <c r="J344" s="149"/>
      <c r="K344" s="149"/>
      <c r="L344" s="149"/>
      <c r="M344" s="65"/>
    </row>
    <row r="345" spans="2:13">
      <c r="B345" s="63"/>
      <c r="C345"/>
      <c r="D345"/>
      <c r="E345"/>
      <c r="F345"/>
      <c r="H345" s="65"/>
      <c r="I345" s="164"/>
      <c r="J345" s="149"/>
      <c r="K345" s="149"/>
      <c r="L345" s="149"/>
      <c r="M345" s="65"/>
    </row>
    <row r="346" spans="2:13">
      <c r="B346" s="63"/>
      <c r="C346"/>
      <c r="D346"/>
      <c r="E346"/>
      <c r="F346"/>
      <c r="H346" s="65"/>
      <c r="I346" s="164"/>
      <c r="J346" s="149"/>
      <c r="K346" s="149"/>
      <c r="L346" s="149"/>
      <c r="M346" s="65"/>
    </row>
    <row r="347" spans="2:13">
      <c r="B347" s="63"/>
      <c r="C347"/>
      <c r="D347"/>
      <c r="E347"/>
      <c r="F347"/>
      <c r="H347" s="65"/>
      <c r="I347" s="164"/>
      <c r="J347" s="149"/>
      <c r="K347" s="149"/>
      <c r="L347" s="149"/>
      <c r="M347" s="65"/>
    </row>
    <row r="348" spans="2:13">
      <c r="B348" s="63"/>
      <c r="C348"/>
      <c r="D348"/>
      <c r="E348"/>
      <c r="F348"/>
      <c r="H348" s="65"/>
      <c r="I348" s="164"/>
      <c r="J348" s="149"/>
      <c r="K348" s="149"/>
      <c r="L348" s="149"/>
      <c r="M348" s="65"/>
    </row>
    <row r="349" spans="2:13">
      <c r="B349" s="63"/>
      <c r="C349"/>
      <c r="D349"/>
      <c r="E349"/>
      <c r="F349"/>
      <c r="H349" s="65"/>
      <c r="I349" s="164"/>
      <c r="J349" s="149"/>
      <c r="K349" s="149"/>
      <c r="L349" s="149"/>
      <c r="M349" s="65"/>
    </row>
    <row r="350" spans="2:13">
      <c r="B350" s="63"/>
      <c r="C350"/>
      <c r="D350"/>
      <c r="E350"/>
      <c r="F350"/>
      <c r="H350" s="65"/>
      <c r="I350" s="164"/>
      <c r="J350" s="149"/>
      <c r="K350" s="149"/>
      <c r="L350" s="149"/>
      <c r="M350" s="65"/>
    </row>
    <row r="351" spans="2:13">
      <c r="B351" s="63"/>
      <c r="C351"/>
      <c r="D351"/>
      <c r="E351"/>
      <c r="F351"/>
      <c r="H351" s="65"/>
      <c r="I351" s="164"/>
      <c r="J351" s="149"/>
      <c r="K351" s="149"/>
      <c r="L351" s="149"/>
      <c r="M351" s="65"/>
    </row>
    <row r="352" spans="2:13">
      <c r="B352" s="63"/>
      <c r="C352"/>
      <c r="D352"/>
      <c r="E352"/>
      <c r="F352"/>
      <c r="H352" s="65"/>
      <c r="I352" s="164"/>
      <c r="J352" s="149"/>
      <c r="K352" s="149"/>
      <c r="L352" s="149"/>
      <c r="M352" s="65"/>
    </row>
    <row r="353" spans="1:13">
      <c r="B353" s="63"/>
      <c r="C353"/>
      <c r="D353"/>
      <c r="E353"/>
      <c r="F353"/>
      <c r="H353" s="65"/>
      <c r="I353" s="164"/>
      <c r="J353" s="149"/>
      <c r="K353" s="149"/>
      <c r="L353" s="149"/>
      <c r="M353" s="65"/>
    </row>
    <row r="354" spans="1:13">
      <c r="B354" s="63"/>
      <c r="C354"/>
      <c r="D354"/>
      <c r="E354"/>
      <c r="F354"/>
      <c r="H354" s="65"/>
      <c r="I354" s="164"/>
      <c r="J354" s="149"/>
      <c r="K354" s="149"/>
      <c r="L354" s="149"/>
      <c r="M354" s="65"/>
    </row>
    <row r="355" spans="1:13">
      <c r="B355" s="63"/>
      <c r="C355"/>
      <c r="D355"/>
      <c r="E355"/>
      <c r="F355"/>
      <c r="H355" s="65"/>
      <c r="I355" s="164"/>
      <c r="J355" s="149"/>
      <c r="K355" s="149"/>
      <c r="L355" s="149"/>
      <c r="M355" s="65"/>
    </row>
    <row r="356" spans="1:13">
      <c r="B356" s="63"/>
      <c r="C356"/>
      <c r="D356"/>
      <c r="E356"/>
      <c r="F356"/>
      <c r="H356" s="65"/>
      <c r="I356" s="164"/>
      <c r="J356" s="149"/>
      <c r="K356" s="149"/>
      <c r="L356" s="149"/>
      <c r="M356" s="65"/>
    </row>
    <row r="357" spans="1:13">
      <c r="B357" s="63"/>
      <c r="C357"/>
      <c r="D357"/>
      <c r="E357"/>
      <c r="F357"/>
      <c r="H357" s="65"/>
      <c r="I357" s="164"/>
      <c r="J357" s="149"/>
      <c r="K357" s="149"/>
      <c r="L357" s="149"/>
      <c r="M357" s="65"/>
    </row>
    <row r="358" spans="1:13">
      <c r="A358"/>
      <c r="B358" s="63"/>
      <c r="C358"/>
      <c r="D358"/>
      <c r="E358"/>
      <c r="F358"/>
      <c r="H358" s="65"/>
      <c r="I358" s="164"/>
      <c r="J358" s="149"/>
      <c r="K358" s="149"/>
      <c r="L358" s="149"/>
      <c r="M358" s="65"/>
    </row>
    <row r="359" spans="1:13">
      <c r="A359"/>
      <c r="B359" s="63"/>
      <c r="C359"/>
      <c r="D359"/>
      <c r="E359"/>
      <c r="F359"/>
      <c r="H359" s="65"/>
      <c r="I359" s="164"/>
      <c r="J359" s="149"/>
      <c r="K359" s="149"/>
      <c r="L359" s="149"/>
      <c r="M359" s="65"/>
    </row>
    <row r="360" spans="1:13">
      <c r="A360"/>
      <c r="B360" s="63"/>
      <c r="C360"/>
      <c r="D360"/>
      <c r="E360"/>
      <c r="F360"/>
      <c r="H360" s="65"/>
      <c r="I360" s="164"/>
      <c r="J360" s="149"/>
      <c r="K360" s="149"/>
      <c r="L360" s="149"/>
      <c r="M360" s="65"/>
    </row>
    <row r="361" spans="1:13">
      <c r="A361"/>
      <c r="B361" s="63"/>
      <c r="C361"/>
      <c r="D361"/>
      <c r="E361"/>
      <c r="F361"/>
      <c r="H361" s="65"/>
      <c r="I361" s="164"/>
      <c r="J361" s="149"/>
      <c r="K361" s="149"/>
      <c r="L361" s="149"/>
      <c r="M361" s="65"/>
    </row>
    <row r="362" spans="1:13">
      <c r="A362"/>
      <c r="B362" s="63"/>
      <c r="C362"/>
      <c r="D362"/>
      <c r="E362"/>
      <c r="F362"/>
      <c r="H362" s="65"/>
      <c r="I362" s="164"/>
      <c r="J362" s="149"/>
      <c r="K362" s="149"/>
      <c r="L362" s="149"/>
      <c r="M362" s="65"/>
    </row>
    <row r="363" spans="1:13">
      <c r="A363"/>
      <c r="B363" s="63"/>
      <c r="C363"/>
      <c r="D363"/>
      <c r="E363"/>
      <c r="F363"/>
      <c r="H363" s="65"/>
      <c r="I363" s="164"/>
      <c r="J363" s="149"/>
      <c r="K363" s="149"/>
      <c r="L363" s="149"/>
      <c r="M363" s="65"/>
    </row>
    <row r="364" spans="1:13">
      <c r="A364"/>
      <c r="B364" s="63"/>
      <c r="C364"/>
      <c r="D364"/>
      <c r="E364"/>
      <c r="F364"/>
      <c r="H364" s="65"/>
      <c r="I364" s="164"/>
      <c r="J364" s="149"/>
      <c r="K364" s="149"/>
      <c r="L364" s="149"/>
      <c r="M364" s="65"/>
    </row>
    <row r="365" spans="1:13">
      <c r="A365"/>
      <c r="B365" s="63"/>
      <c r="C365"/>
      <c r="D365"/>
      <c r="E365"/>
      <c r="F365"/>
      <c r="H365" s="65"/>
      <c r="I365" s="164"/>
      <c r="J365" s="149"/>
      <c r="K365" s="149"/>
      <c r="L365" s="149"/>
      <c r="M365" s="65"/>
    </row>
    <row r="366" spans="1:13">
      <c r="A366"/>
      <c r="B366" s="63"/>
      <c r="C366"/>
      <c r="D366"/>
      <c r="E366"/>
      <c r="F366"/>
      <c r="H366" s="65"/>
      <c r="I366" s="164"/>
      <c r="J366" s="149"/>
      <c r="K366" s="149"/>
      <c r="L366" s="149"/>
      <c r="M366" s="65"/>
    </row>
    <row r="367" spans="1:13">
      <c r="A367"/>
      <c r="B367" s="35" t="s">
        <v>314</v>
      </c>
      <c r="D367" s="67"/>
      <c r="E367" s="67"/>
      <c r="F367"/>
      <c r="H367" s="65"/>
      <c r="I367" s="164"/>
      <c r="J367" s="149"/>
      <c r="K367" s="149"/>
      <c r="L367" s="149"/>
      <c r="M367" s="65"/>
    </row>
    <row r="368" spans="1:13" ht="13.5" thickBot="1">
      <c r="A368"/>
      <c r="B368" s="67"/>
      <c r="C368" s="179" t="s">
        <v>10</v>
      </c>
      <c r="D368" s="67"/>
      <c r="E368" s="67"/>
      <c r="F368"/>
      <c r="H368" s="65"/>
      <c r="I368" s="164"/>
      <c r="J368" s="149"/>
      <c r="K368" s="149"/>
      <c r="L368" s="149"/>
      <c r="M368" s="65"/>
    </row>
    <row r="369" spans="1:13">
      <c r="A369"/>
      <c r="B369" s="39" t="s">
        <v>328</v>
      </c>
      <c r="C369" s="185">
        <v>200500</v>
      </c>
      <c r="D369" s="67" t="s">
        <v>21</v>
      </c>
      <c r="E369" s="67"/>
      <c r="F369"/>
      <c r="H369" s="65"/>
      <c r="I369" s="164"/>
      <c r="J369" s="149"/>
      <c r="K369" s="149"/>
      <c r="L369" s="149"/>
      <c r="M369" s="65"/>
    </row>
    <row r="370" spans="1:13">
      <c r="A370"/>
      <c r="B370" s="39" t="s">
        <v>305</v>
      </c>
      <c r="C370" s="186">
        <v>22000</v>
      </c>
      <c r="D370" s="67" t="s">
        <v>15</v>
      </c>
      <c r="E370" s="67"/>
      <c r="F370"/>
      <c r="H370" s="65"/>
      <c r="I370" s="164"/>
      <c r="J370" s="149"/>
      <c r="K370" s="149"/>
      <c r="L370" s="149"/>
      <c r="M370" s="65"/>
    </row>
    <row r="371" spans="1:13" ht="13.5" thickBot="1">
      <c r="A371"/>
      <c r="B371" s="39" t="s">
        <v>306</v>
      </c>
      <c r="C371" s="207">
        <v>2.5</v>
      </c>
      <c r="D371" s="67"/>
      <c r="E371" s="67"/>
      <c r="F371"/>
      <c r="H371" s="65"/>
      <c r="I371" s="164"/>
      <c r="J371" s="149"/>
      <c r="K371" s="149"/>
      <c r="L371" s="149"/>
      <c r="M371" s="65"/>
    </row>
    <row r="372" spans="1:13">
      <c r="A372"/>
      <c r="B372" s="67"/>
      <c r="C372" s="179" t="s">
        <v>133</v>
      </c>
      <c r="D372" s="67"/>
      <c r="E372" s="67"/>
      <c r="F372"/>
      <c r="H372" s="65"/>
      <c r="I372" s="164"/>
      <c r="J372" s="149"/>
      <c r="K372" s="149"/>
      <c r="L372" s="149"/>
      <c r="M372" s="65"/>
    </row>
    <row r="373" spans="1:13">
      <c r="A373"/>
      <c r="B373" s="39" t="s">
        <v>495</v>
      </c>
      <c r="C373" s="67" t="s">
        <v>308</v>
      </c>
      <c r="D373" s="67"/>
      <c r="E373" s="67"/>
      <c r="F373"/>
      <c r="H373" s="65"/>
      <c r="I373" s="164"/>
      <c r="J373" s="149"/>
      <c r="K373" s="149"/>
      <c r="L373" s="149"/>
      <c r="M373" s="65"/>
    </row>
    <row r="374" spans="1:13" ht="13.5" thickBot="1">
      <c r="A374"/>
      <c r="B374" s="180" t="s">
        <v>6</v>
      </c>
      <c r="C374" s="181">
        <f>C371*C369 / C370</f>
        <v>22.78409090909091</v>
      </c>
      <c r="D374" s="187" t="s">
        <v>13</v>
      </c>
      <c r="E374" s="67"/>
      <c r="F374"/>
      <c r="H374" s="65"/>
      <c r="I374" s="164"/>
      <c r="J374" s="149"/>
      <c r="K374" s="149"/>
      <c r="L374" s="149"/>
      <c r="M374" s="65"/>
    </row>
    <row r="375" spans="1:13" ht="15">
      <c r="A375"/>
      <c r="B375" s="1"/>
      <c r="C375" s="1"/>
      <c r="D375" s="1"/>
      <c r="E375"/>
      <c r="F375"/>
      <c r="H375" s="65"/>
      <c r="I375" s="164"/>
      <c r="J375" s="149"/>
      <c r="K375" s="149"/>
      <c r="L375" s="149"/>
      <c r="M375" s="65"/>
    </row>
    <row r="376" spans="1:13" ht="15">
      <c r="A376"/>
      <c r="B376" s="1"/>
      <c r="C376" s="1"/>
      <c r="D376" s="1"/>
      <c r="E376"/>
      <c r="F376"/>
      <c r="H376" s="65"/>
      <c r="I376" s="164"/>
      <c r="J376" s="149"/>
      <c r="K376" s="149"/>
      <c r="L376" s="149"/>
      <c r="M376" s="65"/>
    </row>
    <row r="377" spans="1:13" ht="15">
      <c r="A377"/>
      <c r="B377" s="1"/>
      <c r="C377" s="1"/>
      <c r="D377" s="1"/>
      <c r="E377"/>
      <c r="F377"/>
      <c r="H377" s="65"/>
      <c r="I377" s="164"/>
      <c r="J377" s="149"/>
      <c r="K377" s="149"/>
      <c r="L377" s="149"/>
      <c r="M377" s="65"/>
    </row>
    <row r="378" spans="1:13" ht="15">
      <c r="A378"/>
      <c r="B378" s="1"/>
      <c r="C378" s="1"/>
      <c r="D378" s="1"/>
      <c r="E378"/>
      <c r="F378"/>
      <c r="H378" s="65"/>
      <c r="I378" s="164"/>
      <c r="J378" s="149"/>
      <c r="K378" s="149"/>
      <c r="L378" s="149"/>
      <c r="M378" s="65"/>
    </row>
    <row r="379" spans="1:13" ht="15">
      <c r="A379"/>
      <c r="B379" s="1"/>
      <c r="C379" s="1"/>
      <c r="D379" s="1"/>
      <c r="E379"/>
      <c r="F379"/>
      <c r="H379" s="65"/>
      <c r="I379" s="164"/>
      <c r="J379" s="149"/>
      <c r="K379" s="149"/>
      <c r="L379" s="149"/>
      <c r="M379" s="65"/>
    </row>
    <row r="380" spans="1:13" ht="15">
      <c r="A380"/>
      <c r="B380" s="1"/>
      <c r="C380" s="1"/>
      <c r="D380" s="1"/>
      <c r="E380"/>
      <c r="F380"/>
      <c r="H380" s="65"/>
      <c r="I380" s="164"/>
      <c r="J380" s="149"/>
      <c r="K380" s="149"/>
      <c r="L380" s="149"/>
      <c r="M380" s="65"/>
    </row>
    <row r="381" spans="1:13" ht="15">
      <c r="A381"/>
      <c r="B381" s="1"/>
      <c r="C381" s="1"/>
      <c r="D381" s="1"/>
      <c r="E381"/>
      <c r="F381"/>
      <c r="H381" s="65"/>
      <c r="I381" s="164"/>
      <c r="J381" s="149"/>
      <c r="K381" s="149"/>
      <c r="L381" s="149"/>
      <c r="M381" s="65"/>
    </row>
    <row r="382" spans="1:13" ht="15">
      <c r="A382"/>
      <c r="B382" s="1"/>
      <c r="C382" s="1"/>
      <c r="D382" s="1"/>
      <c r="E382"/>
      <c r="F382"/>
      <c r="H382" s="65"/>
      <c r="I382" s="164"/>
      <c r="J382" s="149"/>
      <c r="K382" s="149"/>
      <c r="L382" s="149"/>
      <c r="M382" s="65"/>
    </row>
    <row r="383" spans="1:13" ht="15">
      <c r="A383"/>
      <c r="B383" s="1"/>
      <c r="C383" s="1"/>
      <c r="D383" s="1"/>
      <c r="E383"/>
      <c r="F383"/>
      <c r="H383" s="65"/>
      <c r="I383" s="164"/>
      <c r="J383" s="149"/>
      <c r="K383" s="149"/>
      <c r="L383" s="149"/>
      <c r="M383" s="65"/>
    </row>
    <row r="384" spans="1:13" ht="15.75">
      <c r="A384"/>
      <c r="B384" s="1"/>
      <c r="C384" s="177" t="s">
        <v>309</v>
      </c>
      <c r="D384" s="1"/>
      <c r="E384"/>
      <c r="F384"/>
      <c r="H384" s="65"/>
      <c r="I384" s="164"/>
      <c r="J384" s="149"/>
      <c r="K384" s="149"/>
      <c r="L384" s="149"/>
      <c r="M384" s="65"/>
    </row>
    <row r="385" spans="1:13" ht="13.5" thickBot="1">
      <c r="A385"/>
      <c r="B385" s="67"/>
      <c r="C385" s="179" t="s">
        <v>10</v>
      </c>
      <c r="D385" s="67"/>
      <c r="E385"/>
      <c r="F385"/>
      <c r="H385" s="65"/>
      <c r="I385" s="164"/>
      <c r="J385" s="149"/>
      <c r="K385" s="149"/>
      <c r="L385" s="149"/>
      <c r="M385" s="65"/>
    </row>
    <row r="386" spans="1:13">
      <c r="A386"/>
      <c r="B386" s="39" t="s">
        <v>310</v>
      </c>
      <c r="C386" s="206" t="s">
        <v>311</v>
      </c>
      <c r="D386" s="67"/>
      <c r="E386"/>
      <c r="F386"/>
      <c r="H386" s="65"/>
      <c r="I386" s="164"/>
      <c r="J386" s="149"/>
      <c r="K386" s="149"/>
      <c r="L386" s="149"/>
      <c r="M386" s="65"/>
    </row>
    <row r="387" spans="1:13" ht="13.5" thickBot="1">
      <c r="A387"/>
      <c r="B387" s="39" t="s">
        <v>312</v>
      </c>
      <c r="C387" s="207">
        <v>62.6</v>
      </c>
      <c r="D387" s="67" t="s">
        <v>13</v>
      </c>
      <c r="E387"/>
      <c r="F387"/>
      <c r="H387" s="65"/>
      <c r="I387" s="164"/>
      <c r="J387" s="149"/>
      <c r="K387" s="149"/>
      <c r="L387" s="149"/>
      <c r="M387" s="65"/>
    </row>
    <row r="388" spans="1:13" ht="15">
      <c r="A388"/>
      <c r="B388" s="1"/>
      <c r="C388" s="1"/>
      <c r="D388" s="1"/>
      <c r="E388"/>
      <c r="F388"/>
      <c r="H388" s="65"/>
      <c r="I388" s="164"/>
      <c r="J388" s="149"/>
      <c r="K388" s="149"/>
      <c r="L388" s="149"/>
      <c r="M388" s="65"/>
    </row>
    <row r="389" spans="1:13" ht="15">
      <c r="A389"/>
      <c r="B389" s="178"/>
      <c r="C389" s="178"/>
      <c r="D389" s="178"/>
      <c r="E389" s="178"/>
      <c r="F389" s="178"/>
      <c r="H389" s="65"/>
      <c r="I389" s="164"/>
      <c r="J389" s="149"/>
      <c r="K389" s="149"/>
      <c r="L389" s="149"/>
      <c r="M389" s="65"/>
    </row>
    <row r="390" spans="1:13" ht="15">
      <c r="A390"/>
      <c r="B390" s="1"/>
      <c r="C390" s="1"/>
      <c r="D390" s="1"/>
      <c r="E390"/>
      <c r="F390"/>
      <c r="H390" s="65"/>
      <c r="I390" s="164"/>
      <c r="J390" s="149"/>
      <c r="K390" s="149"/>
      <c r="L390" s="149"/>
      <c r="M390" s="65"/>
    </row>
    <row r="391" spans="1:13" ht="15.75">
      <c r="A391"/>
      <c r="B391" s="68" t="s">
        <v>134</v>
      </c>
      <c r="C391"/>
      <c r="D391"/>
      <c r="E391"/>
      <c r="F391"/>
      <c r="H391" s="65"/>
      <c r="I391" s="164"/>
      <c r="J391" s="149"/>
      <c r="K391" s="149"/>
      <c r="L391" s="149"/>
      <c r="M391" s="65"/>
    </row>
    <row r="392" spans="1:13">
      <c r="A392"/>
      <c r="B392" s="63"/>
      <c r="C392"/>
      <c r="D392"/>
      <c r="E392"/>
      <c r="F392"/>
      <c r="H392" s="65"/>
      <c r="I392" s="164"/>
      <c r="J392" s="149"/>
      <c r="K392" s="149"/>
      <c r="L392" s="149"/>
      <c r="M392" s="65"/>
    </row>
    <row r="393" spans="1:13">
      <c r="A393"/>
      <c r="H393" s="65"/>
      <c r="I393" s="164"/>
      <c r="J393" s="149"/>
      <c r="K393" s="149"/>
      <c r="L393" s="149"/>
      <c r="M393" s="65"/>
    </row>
    <row r="394" spans="1:13">
      <c r="A394"/>
      <c r="H394" s="65"/>
      <c r="I394" s="164"/>
      <c r="J394" s="149"/>
      <c r="K394" s="149"/>
      <c r="L394" s="149"/>
      <c r="M394" s="65"/>
    </row>
    <row r="395" spans="1:13">
      <c r="A395"/>
      <c r="H395" s="65"/>
      <c r="I395" s="164"/>
      <c r="J395" s="149"/>
      <c r="K395" s="149"/>
      <c r="L395" s="149"/>
      <c r="M395" s="65"/>
    </row>
    <row r="396" spans="1:13">
      <c r="A396"/>
      <c r="H396" s="65"/>
      <c r="I396" s="164"/>
      <c r="J396" s="149"/>
      <c r="K396" s="149"/>
      <c r="L396" s="149"/>
      <c r="M396" s="65"/>
    </row>
    <row r="397" spans="1:13">
      <c r="A397"/>
      <c r="H397" s="65"/>
      <c r="I397" s="164"/>
      <c r="J397" s="149"/>
      <c r="K397" s="149"/>
      <c r="L397" s="149"/>
      <c r="M397" s="65"/>
    </row>
    <row r="398" spans="1:13">
      <c r="A398"/>
      <c r="H398" s="65"/>
      <c r="I398" s="164"/>
      <c r="J398" s="149"/>
      <c r="K398" s="149"/>
      <c r="L398" s="149"/>
      <c r="M398" s="65"/>
    </row>
    <row r="399" spans="1:13">
      <c r="A399"/>
      <c r="H399" s="65"/>
      <c r="I399" s="164"/>
      <c r="J399" s="149"/>
      <c r="K399" s="149"/>
      <c r="L399" s="149"/>
      <c r="M399" s="65"/>
    </row>
    <row r="400" spans="1:13">
      <c r="A400"/>
      <c r="H400" s="65"/>
      <c r="I400" s="164"/>
      <c r="J400" s="149"/>
      <c r="K400" s="149"/>
      <c r="L400" s="149"/>
      <c r="M400" s="65"/>
    </row>
    <row r="401" spans="1:13">
      <c r="A401"/>
      <c r="H401" s="65"/>
      <c r="I401" s="164"/>
      <c r="J401" s="149"/>
      <c r="K401" s="149"/>
      <c r="L401" s="149"/>
      <c r="M401" s="65"/>
    </row>
    <row r="402" spans="1:13">
      <c r="A402"/>
    </row>
  </sheetData>
  <sheetProtection sheet="1" objects="1" scenarios="1" formatCells="0" selectLockedCells="1"/>
  <phoneticPr fontId="0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L452"/>
  <sheetViews>
    <sheetView zoomScaleNormal="100" workbookViewId="0">
      <selection activeCell="G3" sqref="G3"/>
    </sheetView>
  </sheetViews>
  <sheetFormatPr defaultRowHeight="12.75"/>
  <cols>
    <col min="2" max="2" width="34.5703125" customWidth="1"/>
    <col min="3" max="3" width="13.42578125" customWidth="1"/>
    <col min="5" max="5" width="13.140625" customWidth="1"/>
    <col min="6" max="6" width="9.85546875" customWidth="1"/>
    <col min="7" max="7" width="11" style="73" customWidth="1"/>
    <col min="8" max="8" width="36.42578125" customWidth="1"/>
    <col min="9" max="9" width="12.85546875" style="74" customWidth="1"/>
    <col min="11" max="11" width="9.140625" style="74"/>
  </cols>
  <sheetData>
    <row r="1" spans="2:11" ht="18">
      <c r="B1" s="72" t="s">
        <v>549</v>
      </c>
      <c r="G1" s="171"/>
      <c r="H1" s="127"/>
      <c r="I1" s="168"/>
      <c r="J1" s="127"/>
      <c r="K1" s="168"/>
    </row>
    <row r="2" spans="2:11">
      <c r="B2" s="9" t="s">
        <v>515</v>
      </c>
      <c r="G2" s="171"/>
      <c r="H2" s="127"/>
      <c r="I2" s="168"/>
      <c r="J2" s="127"/>
      <c r="K2" s="168"/>
    </row>
    <row r="3" spans="2:11">
      <c r="G3" s="171"/>
      <c r="H3" s="127"/>
      <c r="I3" s="168"/>
      <c r="J3" s="127"/>
      <c r="K3" s="168"/>
    </row>
    <row r="4" spans="2:11" ht="13.5" thickBot="1">
      <c r="B4" s="201" t="s">
        <v>394</v>
      </c>
      <c r="E4" s="208"/>
      <c r="G4" s="171"/>
      <c r="H4" s="127"/>
      <c r="I4" s="168"/>
      <c r="J4" s="127"/>
    </row>
    <row r="5" spans="2:11">
      <c r="B5" s="63"/>
      <c r="D5" s="192" t="s">
        <v>370</v>
      </c>
      <c r="E5" s="199" t="s">
        <v>401</v>
      </c>
      <c r="F5" s="193" t="s">
        <v>368</v>
      </c>
      <c r="G5" s="171"/>
      <c r="H5" s="127"/>
      <c r="I5" s="168"/>
      <c r="J5" s="127"/>
    </row>
    <row r="6" spans="2:11" ht="13.5" thickBot="1">
      <c r="B6" s="63"/>
      <c r="C6" s="128"/>
      <c r="D6" s="194" t="s">
        <v>371</v>
      </c>
      <c r="E6" s="200" t="s">
        <v>27</v>
      </c>
      <c r="F6" s="195" t="s">
        <v>13</v>
      </c>
      <c r="G6" s="171"/>
      <c r="H6" s="127"/>
      <c r="I6" s="168"/>
      <c r="J6" s="127"/>
    </row>
    <row r="7" spans="2:11">
      <c r="B7" s="63"/>
      <c r="C7" s="296" t="s">
        <v>340</v>
      </c>
      <c r="D7" s="279">
        <v>40</v>
      </c>
      <c r="E7" s="280">
        <v>307</v>
      </c>
      <c r="F7" s="281">
        <v>51.5</v>
      </c>
      <c r="G7" s="171"/>
      <c r="H7" s="127"/>
      <c r="I7" s="168"/>
      <c r="J7" s="127"/>
    </row>
    <row r="8" spans="2:11">
      <c r="B8" s="63"/>
      <c r="C8" s="297" t="s">
        <v>373</v>
      </c>
      <c r="D8" s="282">
        <v>72</v>
      </c>
      <c r="E8" s="283">
        <v>597</v>
      </c>
      <c r="F8" s="284">
        <v>97.4</v>
      </c>
      <c r="G8" s="171"/>
      <c r="H8" s="127"/>
      <c r="I8" s="168"/>
      <c r="J8" s="127"/>
    </row>
    <row r="9" spans="2:11">
      <c r="B9" s="63"/>
      <c r="C9" s="297" t="s">
        <v>372</v>
      </c>
      <c r="D9" s="282">
        <v>120</v>
      </c>
      <c r="E9" s="283">
        <v>1070</v>
      </c>
      <c r="F9" s="285">
        <v>163</v>
      </c>
      <c r="G9" s="171"/>
      <c r="H9" s="127"/>
      <c r="I9" s="168"/>
      <c r="J9" s="127"/>
    </row>
    <row r="10" spans="2:11">
      <c r="B10" s="63"/>
      <c r="C10" s="297"/>
      <c r="D10" s="282"/>
      <c r="E10" s="283"/>
      <c r="F10" s="283"/>
      <c r="G10" s="171"/>
      <c r="H10" s="127"/>
      <c r="I10" s="168"/>
      <c r="J10" s="127"/>
    </row>
    <row r="11" spans="2:11">
      <c r="B11" s="63"/>
      <c r="C11" s="297" t="s">
        <v>374</v>
      </c>
      <c r="D11" s="282">
        <v>61</v>
      </c>
      <c r="E11" s="283">
        <v>640</v>
      </c>
      <c r="F11" s="284">
        <v>92.1</v>
      </c>
      <c r="G11" s="171"/>
      <c r="H11" s="127"/>
      <c r="I11" s="168"/>
      <c r="J11" s="127"/>
    </row>
    <row r="12" spans="2:11">
      <c r="B12" s="63"/>
      <c r="C12" s="297" t="s">
        <v>376</v>
      </c>
      <c r="D12" s="282">
        <v>283</v>
      </c>
      <c r="E12" s="283">
        <v>3840</v>
      </c>
      <c r="F12" s="285">
        <v>459</v>
      </c>
      <c r="G12" s="171"/>
      <c r="H12" s="127"/>
      <c r="I12" s="168"/>
      <c r="J12" s="127"/>
    </row>
    <row r="13" spans="2:11">
      <c r="B13" s="63"/>
      <c r="C13" s="297" t="s">
        <v>375</v>
      </c>
      <c r="D13" s="282">
        <v>500</v>
      </c>
      <c r="E13" s="283">
        <v>8210</v>
      </c>
      <c r="F13" s="285">
        <v>838</v>
      </c>
      <c r="G13" s="171"/>
      <c r="H13" s="127"/>
      <c r="I13" s="168"/>
      <c r="J13" s="127"/>
    </row>
    <row r="14" spans="2:11">
      <c r="B14" s="63"/>
      <c r="C14" s="297"/>
      <c r="D14" s="282"/>
      <c r="E14" s="283"/>
      <c r="F14" s="283"/>
      <c r="G14" s="171"/>
      <c r="H14" s="127"/>
      <c r="I14" s="168"/>
      <c r="J14" s="127"/>
    </row>
    <row r="15" spans="2:11">
      <c r="B15" s="63"/>
      <c r="C15" s="297" t="s">
        <v>377</v>
      </c>
      <c r="D15" s="282">
        <v>50</v>
      </c>
      <c r="E15" s="283">
        <v>659</v>
      </c>
      <c r="F15" s="284">
        <v>81</v>
      </c>
      <c r="G15" s="171"/>
      <c r="H15" s="127"/>
      <c r="I15" s="168"/>
      <c r="J15" s="127"/>
    </row>
    <row r="16" spans="2:11">
      <c r="B16" s="63"/>
      <c r="C16" s="297" t="s">
        <v>378</v>
      </c>
      <c r="D16" s="282">
        <v>100</v>
      </c>
      <c r="E16" s="283">
        <v>1500</v>
      </c>
      <c r="F16" s="285">
        <v>177</v>
      </c>
      <c r="G16" s="171"/>
      <c r="H16" s="127"/>
      <c r="I16" s="168"/>
      <c r="J16" s="127"/>
    </row>
    <row r="17" spans="2:11">
      <c r="B17" s="63"/>
      <c r="C17" s="297"/>
      <c r="D17" s="282"/>
      <c r="E17" s="283"/>
      <c r="F17" s="283"/>
      <c r="G17" s="171"/>
      <c r="H17" s="127"/>
      <c r="I17" s="168"/>
      <c r="J17" s="127"/>
    </row>
    <row r="18" spans="2:11">
      <c r="B18" s="63"/>
      <c r="C18" s="297" t="s">
        <v>11</v>
      </c>
      <c r="D18" s="282">
        <v>60</v>
      </c>
      <c r="E18" s="283">
        <v>984</v>
      </c>
      <c r="F18" s="284">
        <v>108</v>
      </c>
      <c r="G18" s="171"/>
      <c r="H18" s="127"/>
      <c r="I18" s="168"/>
      <c r="J18" s="127"/>
    </row>
    <row r="19" spans="2:11">
      <c r="B19" s="63"/>
      <c r="C19" s="297" t="s">
        <v>380</v>
      </c>
      <c r="D19" s="282">
        <v>158</v>
      </c>
      <c r="E19" s="283">
        <v>3060</v>
      </c>
      <c r="F19" s="285">
        <v>310</v>
      </c>
      <c r="G19" s="171"/>
      <c r="H19" s="127"/>
      <c r="I19" s="168"/>
      <c r="J19" s="127"/>
    </row>
    <row r="20" spans="2:11">
      <c r="B20" s="63"/>
      <c r="C20" s="297" t="s">
        <v>379</v>
      </c>
      <c r="D20" s="282">
        <v>283</v>
      </c>
      <c r="E20" s="283">
        <v>564</v>
      </c>
      <c r="F20" s="283">
        <v>6160</v>
      </c>
      <c r="G20" s="171"/>
      <c r="H20" s="127"/>
      <c r="I20" s="168"/>
      <c r="J20" s="127"/>
    </row>
    <row r="21" spans="2:11">
      <c r="B21" s="63"/>
      <c r="C21" s="297"/>
      <c r="D21" s="282"/>
      <c r="E21" s="283"/>
      <c r="F21" s="283"/>
      <c r="G21" s="171"/>
      <c r="H21" s="127"/>
      <c r="I21" s="168"/>
      <c r="J21" s="127"/>
    </row>
    <row r="22" spans="2:11">
      <c r="B22" s="63"/>
      <c r="C22" s="297" t="s">
        <v>381</v>
      </c>
      <c r="D22" s="282">
        <v>62</v>
      </c>
      <c r="E22" s="283">
        <v>1560</v>
      </c>
      <c r="F22" s="285">
        <v>132</v>
      </c>
      <c r="G22" s="171"/>
      <c r="H22" s="127"/>
      <c r="I22" s="168"/>
      <c r="J22" s="127"/>
    </row>
    <row r="23" spans="2:11">
      <c r="B23" s="63"/>
      <c r="C23" s="297" t="s">
        <v>383</v>
      </c>
      <c r="D23" s="282">
        <v>250</v>
      </c>
      <c r="E23" s="283">
        <v>8490</v>
      </c>
      <c r="F23" s="285">
        <v>644</v>
      </c>
      <c r="G23" s="171"/>
      <c r="H23" s="127"/>
      <c r="I23" s="168"/>
      <c r="J23" s="127"/>
    </row>
    <row r="24" spans="2:11" ht="13.5" thickBot="1">
      <c r="B24" s="63"/>
      <c r="C24" s="298" t="s">
        <v>382</v>
      </c>
      <c r="D24" s="286">
        <v>450</v>
      </c>
      <c r="E24" s="287">
        <v>17100</v>
      </c>
      <c r="F24" s="287">
        <v>1170</v>
      </c>
      <c r="G24" s="171"/>
      <c r="H24" s="127"/>
      <c r="I24" s="168"/>
      <c r="J24" s="127"/>
    </row>
    <row r="25" spans="2:11">
      <c r="G25" s="171"/>
      <c r="H25" s="127"/>
      <c r="I25" s="168"/>
      <c r="J25" s="127"/>
      <c r="K25" s="168"/>
    </row>
    <row r="26" spans="2:11" ht="15.75">
      <c r="B26" s="103" t="s">
        <v>329</v>
      </c>
      <c r="C26" s="13"/>
      <c r="D26" s="14"/>
      <c r="E26" s="14"/>
      <c r="F26" s="14"/>
      <c r="G26" s="171"/>
      <c r="H26" s="127"/>
      <c r="I26" s="168"/>
      <c r="J26" s="127"/>
      <c r="K26" s="168"/>
    </row>
    <row r="27" spans="2:11">
      <c r="B27" s="35" t="s">
        <v>74</v>
      </c>
      <c r="C27" s="13"/>
      <c r="D27" s="14"/>
      <c r="E27" s="14"/>
      <c r="F27" s="14"/>
      <c r="G27" s="171"/>
      <c r="H27" s="127"/>
      <c r="I27" s="168"/>
      <c r="J27" s="127"/>
      <c r="K27" s="168"/>
    </row>
    <row r="28" spans="2:11">
      <c r="B28" s="15"/>
      <c r="C28" s="13"/>
      <c r="D28" s="14"/>
      <c r="E28" s="14"/>
      <c r="F28" s="14"/>
      <c r="G28" s="171"/>
      <c r="H28" s="127"/>
      <c r="I28" s="168"/>
      <c r="J28" s="127"/>
      <c r="K28" s="168"/>
    </row>
    <row r="29" spans="2:11">
      <c r="B29" s="15"/>
      <c r="C29" s="13"/>
      <c r="D29" s="14"/>
      <c r="E29" s="14"/>
      <c r="F29" s="14"/>
      <c r="G29" s="171"/>
      <c r="H29" s="127"/>
      <c r="I29" s="168"/>
      <c r="J29" s="127"/>
      <c r="K29" s="168"/>
    </row>
    <row r="30" spans="2:11">
      <c r="B30" s="15"/>
      <c r="C30" s="13"/>
      <c r="D30" s="14"/>
      <c r="E30" s="14"/>
      <c r="F30" s="14"/>
      <c r="G30" s="171"/>
      <c r="H30" s="127"/>
      <c r="I30" s="168"/>
      <c r="J30" s="127"/>
      <c r="K30" s="168"/>
    </row>
    <row r="31" spans="2:11">
      <c r="B31" s="15"/>
      <c r="C31" s="13"/>
      <c r="D31" s="14"/>
      <c r="E31" s="14"/>
      <c r="F31" s="14"/>
      <c r="G31" s="171"/>
      <c r="H31" s="127"/>
      <c r="I31" s="168"/>
      <c r="J31" s="127"/>
      <c r="K31" s="168"/>
    </row>
    <row r="32" spans="2:11">
      <c r="B32" s="15"/>
      <c r="C32" s="13"/>
      <c r="D32" s="14"/>
      <c r="E32" s="14"/>
      <c r="F32" s="14"/>
      <c r="G32" s="171"/>
      <c r="H32" s="127"/>
      <c r="I32" s="168"/>
      <c r="J32" s="127"/>
      <c r="K32" s="168"/>
    </row>
    <row r="33" spans="2:12">
      <c r="B33" s="15"/>
      <c r="C33" s="13"/>
      <c r="D33" s="14"/>
      <c r="E33" s="14"/>
      <c r="F33" s="14"/>
      <c r="G33" s="171"/>
      <c r="H33" s="127"/>
      <c r="I33" s="168"/>
      <c r="J33" s="127"/>
      <c r="K33" s="168"/>
    </row>
    <row r="34" spans="2:12">
      <c r="B34" s="15"/>
      <c r="C34" s="13"/>
      <c r="D34" s="14"/>
      <c r="E34" s="14"/>
      <c r="F34" s="14"/>
      <c r="G34" s="171"/>
      <c r="H34" s="127"/>
      <c r="I34" s="168"/>
      <c r="J34" s="127"/>
      <c r="K34" s="168"/>
    </row>
    <row r="35" spans="2:12">
      <c r="B35" s="15"/>
      <c r="C35" s="13"/>
      <c r="D35" s="14"/>
      <c r="E35" s="14"/>
      <c r="F35" s="14"/>
      <c r="G35" s="171"/>
      <c r="H35" s="127"/>
      <c r="I35" s="168"/>
      <c r="J35" s="127"/>
      <c r="K35" s="168"/>
    </row>
    <row r="36" spans="2:12">
      <c r="B36" s="15"/>
      <c r="C36" s="13"/>
      <c r="D36" s="14"/>
      <c r="E36" s="14"/>
      <c r="F36" s="14"/>
      <c r="G36" s="171"/>
      <c r="H36" s="127"/>
      <c r="I36" s="168"/>
      <c r="J36" s="127"/>
    </row>
    <row r="37" spans="2:12">
      <c r="B37" s="15"/>
      <c r="C37" s="13"/>
      <c r="D37" s="14"/>
      <c r="E37" s="14"/>
      <c r="F37" s="14"/>
      <c r="G37" s="171"/>
      <c r="H37" s="127"/>
      <c r="I37" s="168"/>
      <c r="J37" s="127"/>
    </row>
    <row r="38" spans="2:12">
      <c r="B38" s="15"/>
      <c r="C38" s="13"/>
      <c r="D38" s="14"/>
      <c r="E38" s="14"/>
      <c r="F38" s="14"/>
      <c r="G38" s="171"/>
      <c r="H38" s="127"/>
      <c r="I38" s="168"/>
      <c r="J38" s="127"/>
    </row>
    <row r="39" spans="2:12">
      <c r="B39" s="15"/>
      <c r="C39" s="13"/>
      <c r="D39" s="14"/>
      <c r="E39" s="14"/>
      <c r="F39" s="14"/>
      <c r="G39" s="171"/>
      <c r="H39" s="127"/>
      <c r="I39" s="168"/>
      <c r="J39" s="127"/>
      <c r="L39" s="14"/>
    </row>
    <row r="40" spans="2:12">
      <c r="B40" s="15"/>
      <c r="C40" s="13"/>
      <c r="D40" s="14"/>
      <c r="E40" s="14"/>
      <c r="F40" s="14"/>
      <c r="G40" s="171"/>
      <c r="H40" s="127"/>
      <c r="I40" s="168"/>
      <c r="J40" s="127"/>
      <c r="L40" s="14"/>
    </row>
    <row r="41" spans="2:12">
      <c r="B41" s="16"/>
      <c r="C41" s="13"/>
      <c r="D41" s="14"/>
      <c r="E41" s="14"/>
      <c r="F41" s="14"/>
      <c r="G41" s="171"/>
      <c r="H41" s="127"/>
      <c r="I41" s="168"/>
      <c r="J41" s="127"/>
      <c r="K41" s="23"/>
    </row>
    <row r="42" spans="2:12">
      <c r="B42" s="15"/>
      <c r="C42" s="13"/>
      <c r="D42" s="14"/>
      <c r="E42" s="14"/>
      <c r="F42" s="14"/>
      <c r="G42" s="171"/>
      <c r="H42" s="127"/>
      <c r="I42" s="168"/>
      <c r="J42" s="127"/>
    </row>
    <row r="43" spans="2:12">
      <c r="B43" s="15"/>
      <c r="C43" s="13"/>
      <c r="D43" s="14"/>
      <c r="E43" s="14"/>
      <c r="F43" s="14"/>
      <c r="G43" s="171"/>
      <c r="H43" s="127"/>
      <c r="I43" s="168"/>
      <c r="J43" s="127"/>
    </row>
    <row r="44" spans="2:12">
      <c r="B44" s="15"/>
      <c r="C44" s="13"/>
      <c r="D44" s="14"/>
      <c r="E44" s="14"/>
      <c r="F44" s="14"/>
      <c r="G44" s="171"/>
      <c r="H44" s="127"/>
      <c r="I44" s="168"/>
      <c r="J44" s="127"/>
    </row>
    <row r="45" spans="2:12">
      <c r="B45" s="15"/>
      <c r="C45" s="13"/>
      <c r="D45" s="14"/>
      <c r="E45" s="14"/>
      <c r="F45" s="14"/>
      <c r="G45" s="171"/>
      <c r="H45" s="127"/>
      <c r="I45" s="168"/>
      <c r="J45" s="127"/>
    </row>
    <row r="46" spans="2:12">
      <c r="B46" s="15"/>
      <c r="C46" s="13"/>
      <c r="D46" s="14"/>
      <c r="E46" s="14"/>
      <c r="F46" s="14"/>
      <c r="G46" s="171"/>
      <c r="H46" s="127"/>
      <c r="I46" s="168"/>
      <c r="J46" s="127"/>
    </row>
    <row r="47" spans="2:12">
      <c r="B47" s="15"/>
      <c r="C47" s="13"/>
      <c r="D47" s="14"/>
      <c r="E47" s="14"/>
      <c r="F47" s="14"/>
      <c r="G47" s="171"/>
      <c r="H47" s="127"/>
      <c r="I47" s="168"/>
      <c r="J47" s="127"/>
    </row>
    <row r="48" spans="2:12">
      <c r="B48" s="15"/>
      <c r="C48" s="13"/>
      <c r="D48" s="14"/>
      <c r="E48" s="14"/>
      <c r="F48" s="14"/>
      <c r="G48" s="171"/>
      <c r="H48" s="127"/>
      <c r="I48" s="168"/>
      <c r="J48" s="127"/>
    </row>
    <row r="49" spans="2:11">
      <c r="B49" s="16"/>
      <c r="C49" s="13"/>
      <c r="D49" s="14"/>
      <c r="E49" s="14"/>
      <c r="F49" s="14"/>
      <c r="G49" s="171"/>
      <c r="H49" s="127"/>
      <c r="I49" s="168"/>
      <c r="J49" s="127"/>
    </row>
    <row r="50" spans="2:11">
      <c r="B50" s="15"/>
      <c r="C50" s="13"/>
      <c r="D50" s="14"/>
      <c r="E50" s="14"/>
      <c r="F50" s="14"/>
      <c r="G50" s="171"/>
      <c r="H50" s="127"/>
      <c r="I50" s="168"/>
      <c r="J50" s="127"/>
    </row>
    <row r="51" spans="2:11">
      <c r="B51" s="15"/>
      <c r="C51" s="13"/>
      <c r="D51" s="14"/>
      <c r="E51" s="14"/>
      <c r="F51" s="14"/>
      <c r="G51" s="171"/>
      <c r="H51" s="127"/>
      <c r="I51" s="168"/>
      <c r="J51" s="127"/>
    </row>
    <row r="52" spans="2:11">
      <c r="G52" s="171"/>
      <c r="H52" s="127"/>
      <c r="I52" s="168"/>
      <c r="J52" s="127"/>
    </row>
    <row r="53" spans="2:11">
      <c r="G53" s="171"/>
      <c r="H53" s="127"/>
      <c r="I53" s="168"/>
      <c r="J53" s="127"/>
    </row>
    <row r="54" spans="2:11">
      <c r="G54" s="171"/>
      <c r="H54" s="127"/>
      <c r="I54" s="168"/>
      <c r="J54" s="127"/>
    </row>
    <row r="55" spans="2:11">
      <c r="G55" s="171"/>
      <c r="H55" s="141"/>
      <c r="I55" s="191"/>
      <c r="J55" s="141"/>
      <c r="K55" s="299"/>
    </row>
    <row r="56" spans="2:11" ht="13.5" thickBot="1">
      <c r="B56" s="35" t="s">
        <v>317</v>
      </c>
      <c r="C56" s="32" t="s">
        <v>10</v>
      </c>
      <c r="D56" s="20"/>
      <c r="E56" s="14"/>
      <c r="F56" s="14"/>
      <c r="G56" s="171"/>
      <c r="H56" s="141"/>
      <c r="I56" s="190"/>
      <c r="J56" s="79"/>
      <c r="K56" s="122"/>
    </row>
    <row r="57" spans="2:11" ht="13.5" thickBot="1">
      <c r="B57" s="21" t="s">
        <v>32</v>
      </c>
      <c r="C57" s="318">
        <v>5000</v>
      </c>
      <c r="D57" s="15" t="s">
        <v>16</v>
      </c>
      <c r="E57" s="17" t="s">
        <v>42</v>
      </c>
      <c r="F57" s="183">
        <v>10</v>
      </c>
      <c r="G57" s="171"/>
      <c r="H57" s="352"/>
      <c r="I57" s="317"/>
      <c r="J57" s="317"/>
      <c r="K57" s="299"/>
    </row>
    <row r="58" spans="2:11" ht="13.5" thickBot="1">
      <c r="B58" s="21" t="s">
        <v>60</v>
      </c>
      <c r="C58" s="319">
        <v>120</v>
      </c>
      <c r="D58" s="15" t="s">
        <v>20</v>
      </c>
      <c r="E58" s="71" t="s">
        <v>43</v>
      </c>
      <c r="F58" s="18" t="s">
        <v>44</v>
      </c>
      <c r="G58" s="171"/>
      <c r="H58" s="352"/>
      <c r="I58" s="317"/>
      <c r="J58" s="317"/>
      <c r="K58" s="299"/>
    </row>
    <row r="59" spans="2:11" ht="13.5" thickBot="1">
      <c r="B59" s="21" t="s">
        <v>160</v>
      </c>
      <c r="C59" s="319">
        <v>18</v>
      </c>
      <c r="D59" s="15" t="s">
        <v>17</v>
      </c>
      <c r="E59" s="70" t="s">
        <v>6</v>
      </c>
      <c r="F59" s="18">
        <f>F57*12</f>
        <v>120</v>
      </c>
      <c r="G59" s="171"/>
      <c r="H59" s="352"/>
      <c r="I59" s="317"/>
      <c r="J59" s="317"/>
      <c r="K59" s="299"/>
    </row>
    <row r="60" spans="2:11">
      <c r="B60" s="21" t="s">
        <v>232</v>
      </c>
      <c r="C60" s="319">
        <v>80</v>
      </c>
      <c r="D60" s="15" t="s">
        <v>29</v>
      </c>
      <c r="E60" s="313"/>
      <c r="G60" s="171"/>
      <c r="H60" s="352"/>
      <c r="I60" s="317"/>
      <c r="J60" s="317"/>
      <c r="K60" s="299"/>
    </row>
    <row r="61" spans="2:11">
      <c r="B61" s="21" t="s">
        <v>216</v>
      </c>
      <c r="C61" s="319" t="s">
        <v>11</v>
      </c>
      <c r="D61" s="15" t="s">
        <v>22</v>
      </c>
      <c r="E61" s="15"/>
      <c r="F61" s="14"/>
      <c r="G61" s="171"/>
      <c r="H61" s="352"/>
      <c r="I61" s="317"/>
      <c r="J61" s="317"/>
      <c r="K61" s="299"/>
    </row>
    <row r="62" spans="2:11">
      <c r="B62" s="21" t="s">
        <v>31</v>
      </c>
      <c r="C62" s="319">
        <v>60</v>
      </c>
      <c r="D62" s="15" t="s">
        <v>55</v>
      </c>
      <c r="E62" s="15"/>
      <c r="F62" s="15"/>
      <c r="G62" s="171"/>
      <c r="H62" s="352"/>
      <c r="I62" s="317"/>
      <c r="J62" s="317"/>
      <c r="K62" s="299"/>
    </row>
    <row r="63" spans="2:11">
      <c r="B63" s="21" t="s">
        <v>12</v>
      </c>
      <c r="C63" s="319">
        <v>108</v>
      </c>
      <c r="D63" s="24" t="s">
        <v>13</v>
      </c>
      <c r="E63" s="15"/>
      <c r="F63" s="15"/>
      <c r="G63" s="171"/>
      <c r="H63" s="352"/>
      <c r="I63" s="317"/>
      <c r="J63" s="317"/>
      <c r="K63" s="299"/>
    </row>
    <row r="64" spans="2:11">
      <c r="B64" s="21" t="s">
        <v>175</v>
      </c>
      <c r="C64" s="319">
        <v>984</v>
      </c>
      <c r="D64" s="15" t="s">
        <v>27</v>
      </c>
      <c r="E64" s="15"/>
      <c r="F64" s="15"/>
      <c r="G64" s="171"/>
      <c r="H64" s="352"/>
      <c r="I64" s="317"/>
      <c r="J64" s="317"/>
      <c r="K64" s="299"/>
    </row>
    <row r="65" spans="2:11">
      <c r="B65" s="21" t="s">
        <v>28</v>
      </c>
      <c r="C65" s="319">
        <v>29000000</v>
      </c>
      <c r="D65" s="15" t="s">
        <v>15</v>
      </c>
      <c r="E65" s="15"/>
      <c r="G65" s="171"/>
      <c r="H65" s="352"/>
      <c r="I65" s="317"/>
      <c r="J65" s="317"/>
      <c r="K65" s="299"/>
    </row>
    <row r="66" spans="2:11" ht="13.5" thickBot="1">
      <c r="B66" s="21" t="s">
        <v>14</v>
      </c>
      <c r="C66" s="320">
        <v>22000</v>
      </c>
      <c r="D66" s="15" t="s">
        <v>15</v>
      </c>
      <c r="E66" s="15"/>
      <c r="F66" s="15"/>
      <c r="G66" s="171"/>
      <c r="H66" s="352"/>
      <c r="I66" s="317"/>
      <c r="J66" s="317"/>
      <c r="K66" s="299"/>
    </row>
    <row r="67" spans="2:11">
      <c r="B67" s="21"/>
      <c r="C67" s="32" t="s">
        <v>114</v>
      </c>
      <c r="D67" s="16"/>
      <c r="E67" s="15"/>
      <c r="F67" s="15"/>
      <c r="G67" s="171"/>
      <c r="H67" s="141"/>
      <c r="I67" s="191"/>
      <c r="J67" s="141"/>
      <c r="K67" s="191"/>
    </row>
    <row r="68" spans="2:11">
      <c r="B68" s="21" t="s">
        <v>161</v>
      </c>
      <c r="C68" s="23" t="s">
        <v>162</v>
      </c>
      <c r="D68" s="15"/>
      <c r="E68" s="15"/>
      <c r="F68" s="15"/>
      <c r="G68" s="171"/>
      <c r="H68" s="141"/>
      <c r="I68" s="190"/>
      <c r="J68" s="141"/>
      <c r="K68" s="191"/>
    </row>
    <row r="69" spans="2:11">
      <c r="B69" s="19" t="s">
        <v>6</v>
      </c>
      <c r="C69" s="25">
        <f>12*C59</f>
        <v>216</v>
      </c>
      <c r="D69" s="15" t="s">
        <v>20</v>
      </c>
      <c r="E69" s="16"/>
      <c r="F69" s="16"/>
      <c r="G69" s="171"/>
      <c r="H69" s="127"/>
      <c r="I69" s="22"/>
      <c r="J69" s="141"/>
      <c r="K69" s="191"/>
    </row>
    <row r="70" spans="2:11">
      <c r="B70" s="36" t="s">
        <v>61</v>
      </c>
      <c r="C70" s="23" t="s">
        <v>195</v>
      </c>
      <c r="D70" s="15"/>
      <c r="E70" s="15"/>
      <c r="F70" s="15"/>
      <c r="G70" s="171"/>
      <c r="H70" s="127"/>
      <c r="I70" s="22"/>
      <c r="J70" s="141"/>
      <c r="K70" s="191"/>
    </row>
    <row r="71" spans="2:11">
      <c r="B71" s="21"/>
      <c r="C71" s="25">
        <f>C69-C58</f>
        <v>96</v>
      </c>
      <c r="D71" s="15" t="s">
        <v>20</v>
      </c>
      <c r="E71" s="15"/>
      <c r="F71" s="15"/>
      <c r="G71" s="171"/>
      <c r="H71" s="127"/>
      <c r="I71" s="142"/>
      <c r="J71" s="141"/>
      <c r="K71" s="191"/>
    </row>
    <row r="72" spans="2:11" ht="15.75">
      <c r="B72" s="21" t="s">
        <v>224</v>
      </c>
      <c r="C72" s="23" t="s">
        <v>211</v>
      </c>
      <c r="D72" s="15"/>
      <c r="E72" s="15"/>
      <c r="F72" s="15"/>
      <c r="G72" s="171"/>
      <c r="H72" s="127"/>
      <c r="I72" s="22"/>
      <c r="J72" s="141"/>
      <c r="K72" s="191"/>
    </row>
    <row r="73" spans="2:11">
      <c r="B73" s="19" t="s">
        <v>6</v>
      </c>
      <c r="C73" s="25">
        <f>(C57*C71^2 / C69^3)*(3*C58 + C71)</f>
        <v>2085.0480109739369</v>
      </c>
      <c r="D73" s="15" t="s">
        <v>16</v>
      </c>
      <c r="E73" s="15"/>
      <c r="F73" s="15"/>
      <c r="G73" s="171"/>
      <c r="H73" s="127"/>
      <c r="I73" s="191"/>
      <c r="J73" s="141"/>
      <c r="K73" s="191"/>
    </row>
    <row r="74" spans="2:11" ht="15.75">
      <c r="B74" s="21" t="s">
        <v>225</v>
      </c>
      <c r="C74" s="23" t="s">
        <v>212</v>
      </c>
      <c r="D74" s="15"/>
      <c r="E74" s="15"/>
      <c r="F74" s="15"/>
      <c r="G74" s="171"/>
      <c r="H74" s="127"/>
      <c r="I74" s="191"/>
      <c r="J74" s="141"/>
      <c r="K74" s="191"/>
    </row>
    <row r="75" spans="2:11">
      <c r="B75" s="21" t="s">
        <v>6</v>
      </c>
      <c r="C75" s="25">
        <f>(C57*C58^2 / C69^3)*(C58 + 3*C71)</f>
        <v>2914.9519890260631</v>
      </c>
      <c r="D75" s="15" t="s">
        <v>16</v>
      </c>
      <c r="E75" s="15"/>
      <c r="F75" s="15"/>
      <c r="G75" s="171"/>
      <c r="H75" s="127"/>
      <c r="I75" s="168"/>
      <c r="J75" s="127"/>
      <c r="K75" s="168"/>
    </row>
    <row r="76" spans="2:11" ht="15.75">
      <c r="B76" s="21" t="s">
        <v>146</v>
      </c>
      <c r="C76" s="55" t="s">
        <v>145</v>
      </c>
      <c r="D76" s="15"/>
      <c r="E76" s="15"/>
      <c r="F76" s="15"/>
      <c r="G76" s="171"/>
      <c r="H76" s="127"/>
      <c r="I76" s="168"/>
      <c r="J76" s="127"/>
      <c r="K76" s="168"/>
    </row>
    <row r="77" spans="2:11">
      <c r="B77" s="19" t="s">
        <v>6</v>
      </c>
      <c r="C77" s="81">
        <f>2*C57*C58^2*C71^2 / C69^3</f>
        <v>131687.24279835392</v>
      </c>
      <c r="D77" s="15" t="s">
        <v>21</v>
      </c>
      <c r="E77" s="15"/>
      <c r="F77" s="15"/>
      <c r="G77" s="171"/>
      <c r="H77" s="127"/>
      <c r="I77" s="168"/>
      <c r="J77" s="127"/>
      <c r="K77" s="168"/>
    </row>
    <row r="78" spans="2:11" ht="15.75">
      <c r="B78" s="21" t="s">
        <v>147</v>
      </c>
      <c r="C78" s="55" t="s">
        <v>213</v>
      </c>
      <c r="D78" s="15"/>
      <c r="E78" s="15"/>
      <c r="F78" s="15"/>
      <c r="G78" s="171"/>
      <c r="H78" s="127"/>
      <c r="I78" s="168"/>
      <c r="J78" s="127"/>
      <c r="K78" s="168"/>
    </row>
    <row r="79" spans="2:11">
      <c r="B79" s="21" t="s">
        <v>6</v>
      </c>
      <c r="C79" s="81">
        <f>C57*C58*C71^2 / C69^2</f>
        <v>118518.51851851853</v>
      </c>
      <c r="D79" s="23" t="s">
        <v>21</v>
      </c>
      <c r="E79" s="15"/>
      <c r="F79" s="15"/>
      <c r="G79" s="171"/>
      <c r="H79" s="127"/>
      <c r="I79" s="168"/>
      <c r="J79" s="127"/>
      <c r="K79" s="168"/>
    </row>
    <row r="80" spans="2:11" ht="15.75">
      <c r="B80" s="21" t="s">
        <v>148</v>
      </c>
      <c r="C80" s="55" t="s">
        <v>214</v>
      </c>
      <c r="D80" s="15"/>
      <c r="E80" s="15"/>
      <c r="F80" s="15"/>
      <c r="G80" s="171"/>
      <c r="H80" s="127"/>
      <c r="I80" s="168"/>
      <c r="J80" s="127"/>
      <c r="K80" s="168"/>
    </row>
    <row r="81" spans="2:11">
      <c r="B81" s="21" t="s">
        <v>6</v>
      </c>
      <c r="C81" s="81">
        <f>C57*C58^2*C71 / C69^2</f>
        <v>148148.14814814815</v>
      </c>
      <c r="D81" s="15" t="s">
        <v>21</v>
      </c>
      <c r="E81" s="15"/>
      <c r="F81" s="15"/>
      <c r="G81" s="171"/>
      <c r="H81" s="127"/>
      <c r="I81" s="168"/>
      <c r="J81" s="127"/>
      <c r="K81" s="168"/>
    </row>
    <row r="82" spans="2:11" ht="13.5" thickBot="1">
      <c r="B82" s="21" t="s">
        <v>154</v>
      </c>
      <c r="C82" s="55" t="s">
        <v>153</v>
      </c>
      <c r="D82" s="14"/>
      <c r="E82" s="15"/>
      <c r="F82" s="14"/>
      <c r="G82" s="171"/>
      <c r="H82" s="127"/>
      <c r="I82" s="168"/>
      <c r="J82" s="127"/>
      <c r="K82" s="168"/>
    </row>
    <row r="83" spans="2:11" ht="13.5" thickBot="1">
      <c r="B83" s="15"/>
      <c r="C83" s="81">
        <f>C73*C60 - ((C57*C58*C71^2)/C69^2)</f>
        <v>48285.322359396421</v>
      </c>
      <c r="D83" s="23" t="s">
        <v>21</v>
      </c>
      <c r="E83" s="123" t="str">
        <f>IF($C$60&lt;$C$58,"x &lt; a, OK","x &gt; a Not OK")</f>
        <v>x &lt; a, OK</v>
      </c>
      <c r="F83" s="15"/>
      <c r="G83" s="171"/>
      <c r="H83" s="127"/>
      <c r="I83" s="168"/>
      <c r="J83" s="127"/>
      <c r="K83" s="168"/>
    </row>
    <row r="84" spans="2:11">
      <c r="B84" s="21"/>
      <c r="C84" s="23"/>
      <c r="D84" s="15"/>
      <c r="E84" s="15"/>
      <c r="F84" s="15"/>
      <c r="G84" s="171"/>
      <c r="H84" s="127"/>
      <c r="I84" s="168"/>
      <c r="J84" s="127"/>
      <c r="K84" s="168"/>
    </row>
    <row r="85" spans="2:11">
      <c r="B85" s="58"/>
      <c r="C85" s="33"/>
      <c r="D85" s="28"/>
      <c r="E85" s="33"/>
      <c r="F85" s="15"/>
      <c r="G85" s="171"/>
      <c r="H85" s="127"/>
      <c r="I85" s="168"/>
      <c r="J85" s="127"/>
      <c r="K85" s="168"/>
    </row>
    <row r="86" spans="2:11">
      <c r="B86" s="57"/>
      <c r="C86" s="32"/>
      <c r="D86" s="15"/>
      <c r="E86" s="15"/>
      <c r="F86" s="15"/>
      <c r="G86" s="171"/>
      <c r="H86" s="127"/>
      <c r="I86" s="168"/>
      <c r="J86" s="127"/>
      <c r="K86" s="168"/>
    </row>
    <row r="87" spans="2:11">
      <c r="B87" s="57" t="s">
        <v>73</v>
      </c>
      <c r="C87" s="32" t="s">
        <v>114</v>
      </c>
      <c r="D87" s="15"/>
      <c r="E87" s="14"/>
      <c r="F87" s="14"/>
      <c r="G87" s="171"/>
      <c r="H87" s="127"/>
      <c r="I87" s="168"/>
      <c r="J87" s="127"/>
      <c r="K87" s="168"/>
    </row>
    <row r="88" spans="2:11" ht="15.75">
      <c r="B88" s="21" t="s">
        <v>333</v>
      </c>
      <c r="C88" s="55" t="s">
        <v>215</v>
      </c>
      <c r="D88" s="83"/>
      <c r="E88" s="14"/>
      <c r="F88" s="14"/>
      <c r="G88" s="171"/>
      <c r="H88" s="127"/>
      <c r="I88" s="168"/>
      <c r="J88" s="127"/>
      <c r="K88" s="168"/>
    </row>
    <row r="89" spans="2:11">
      <c r="B89" s="21" t="s">
        <v>6</v>
      </c>
      <c r="C89" s="80">
        <f>(2*C58*C69)/(3*C58 + C71)</f>
        <v>113.68421052631579</v>
      </c>
      <c r="D89" s="55" t="s">
        <v>20</v>
      </c>
      <c r="E89" s="14"/>
      <c r="F89" s="14"/>
      <c r="G89" s="171"/>
      <c r="H89" s="127"/>
      <c r="I89" s="168"/>
      <c r="J89" s="127"/>
      <c r="K89" s="168"/>
    </row>
    <row r="90" spans="2:11" ht="13.5" thickBot="1">
      <c r="B90" s="24"/>
      <c r="C90" s="32" t="s">
        <v>10</v>
      </c>
      <c r="D90" s="93"/>
      <c r="E90" s="14"/>
      <c r="F90" s="14"/>
      <c r="G90" s="171"/>
      <c r="H90" s="127"/>
      <c r="I90" s="168"/>
      <c r="J90" s="127"/>
      <c r="K90" s="168"/>
    </row>
    <row r="91" spans="2:11" ht="16.5" thickBot="1">
      <c r="B91" s="21" t="s">
        <v>332</v>
      </c>
      <c r="C91" s="166">
        <v>113.68</v>
      </c>
      <c r="D91" t="s">
        <v>20</v>
      </c>
      <c r="G91" s="171"/>
      <c r="H91" s="127"/>
      <c r="I91" s="168"/>
      <c r="J91" s="127"/>
      <c r="K91" s="168"/>
    </row>
    <row r="92" spans="2:11">
      <c r="C92" s="32" t="s">
        <v>114</v>
      </c>
      <c r="G92" s="171"/>
      <c r="H92" s="127"/>
      <c r="I92" s="168"/>
      <c r="J92" s="127"/>
      <c r="K92" s="168"/>
    </row>
    <row r="93" spans="2:11" ht="16.5" thickBot="1">
      <c r="B93" s="21" t="s">
        <v>497</v>
      </c>
      <c r="C93" s="55" t="s">
        <v>507</v>
      </c>
      <c r="D93" s="55"/>
      <c r="E93" s="14"/>
      <c r="F93" s="14"/>
      <c r="G93" s="171"/>
      <c r="H93" s="127"/>
      <c r="I93" s="168"/>
      <c r="J93" s="127"/>
      <c r="K93" s="168"/>
    </row>
    <row r="94" spans="2:11" ht="13.5" thickBot="1">
      <c r="B94" s="21" t="s">
        <v>6</v>
      </c>
      <c r="C94" s="96">
        <f>((2*C57*C58^3*C71^2)/((3*C65*C64)*(3*C58+C71)^2))</f>
        <v>8.9462734344603924E-3</v>
      </c>
      <c r="D94" s="55" t="s">
        <v>20</v>
      </c>
      <c r="E94" s="123" t="str">
        <f>IF($C$60&lt;$C$58,"x &lt; a, OK","x &gt; a Not OK")</f>
        <v>x &lt; a, OK</v>
      </c>
      <c r="F94" s="14"/>
      <c r="H94" s="127"/>
      <c r="I94" s="168"/>
      <c r="J94" s="127"/>
      <c r="K94" s="168"/>
    </row>
    <row r="95" spans="2:11">
      <c r="B95" s="21"/>
      <c r="C95" s="13"/>
      <c r="D95" s="14"/>
      <c r="E95" s="15"/>
      <c r="F95" s="15"/>
      <c r="G95" s="171"/>
      <c r="H95" s="127"/>
      <c r="I95" s="168"/>
      <c r="J95" s="127"/>
      <c r="K95" s="168"/>
    </row>
    <row r="96" spans="2:11">
      <c r="B96" s="58"/>
      <c r="C96" s="33"/>
      <c r="D96" s="28"/>
      <c r="E96" s="33"/>
      <c r="F96" s="15"/>
      <c r="G96" s="171"/>
      <c r="H96" s="127"/>
      <c r="I96" s="168"/>
      <c r="J96" s="127"/>
      <c r="K96" s="168"/>
    </row>
    <row r="97" spans="2:11">
      <c r="B97" s="21"/>
      <c r="C97" s="23"/>
      <c r="D97" s="15"/>
      <c r="E97" s="15"/>
      <c r="F97" s="15"/>
      <c r="G97" s="171"/>
      <c r="H97" s="127"/>
      <c r="I97" s="168"/>
      <c r="J97" s="127"/>
      <c r="K97" s="168"/>
    </row>
    <row r="98" spans="2:11" ht="15.75">
      <c r="B98" s="103" t="s">
        <v>191</v>
      </c>
      <c r="G98" s="171"/>
      <c r="H98" s="127"/>
      <c r="I98" s="168"/>
      <c r="J98" s="127"/>
      <c r="K98" s="168"/>
    </row>
    <row r="99" spans="2:11">
      <c r="B99" s="35" t="s">
        <v>74</v>
      </c>
      <c r="G99" s="171"/>
      <c r="H99" s="127"/>
      <c r="I99" s="168"/>
      <c r="J99" s="127"/>
      <c r="K99" s="168"/>
    </row>
    <row r="100" spans="2:11">
      <c r="B100" s="84"/>
      <c r="C100" s="42"/>
      <c r="D100" s="41"/>
      <c r="E100" s="42"/>
      <c r="F100" s="41"/>
      <c r="G100" s="171"/>
      <c r="H100" s="127"/>
      <c r="I100" s="168"/>
      <c r="J100" s="127"/>
      <c r="K100" s="168"/>
    </row>
    <row r="101" spans="2:11">
      <c r="B101" s="85"/>
      <c r="C101" s="86"/>
      <c r="D101" s="41"/>
      <c r="E101" s="41"/>
      <c r="F101" s="41"/>
      <c r="G101" s="171"/>
      <c r="H101" s="127"/>
      <c r="I101" s="168"/>
      <c r="J101" s="127"/>
      <c r="K101" s="168"/>
    </row>
    <row r="102" spans="2:11">
      <c r="B102" s="84"/>
      <c r="C102" s="42"/>
      <c r="D102" s="41"/>
      <c r="E102" s="41"/>
      <c r="F102" s="41"/>
      <c r="G102" s="171"/>
      <c r="H102" s="127"/>
      <c r="I102" s="168"/>
      <c r="J102" s="127"/>
      <c r="K102" s="168"/>
    </row>
    <row r="103" spans="2:11">
      <c r="B103" s="84"/>
      <c r="C103" s="87"/>
      <c r="D103" s="41"/>
      <c r="E103" s="41"/>
      <c r="G103" s="171"/>
      <c r="H103" s="127"/>
      <c r="I103" s="168"/>
      <c r="J103" s="127"/>
      <c r="K103" s="168"/>
    </row>
    <row r="104" spans="2:11">
      <c r="B104" s="84"/>
      <c r="C104" s="42"/>
      <c r="D104" s="41"/>
      <c r="E104" s="41"/>
      <c r="G104" s="171"/>
      <c r="H104" s="127"/>
      <c r="I104" s="168"/>
      <c r="J104" s="127"/>
      <c r="K104" s="168"/>
    </row>
    <row r="105" spans="2:11">
      <c r="B105" s="84"/>
      <c r="C105" s="42"/>
      <c r="D105" s="41"/>
      <c r="E105" s="42"/>
      <c r="G105" s="171"/>
      <c r="H105" s="127"/>
      <c r="I105" s="168"/>
      <c r="J105" s="127"/>
      <c r="K105" s="168"/>
    </row>
    <row r="106" spans="2:11">
      <c r="B106" s="85"/>
      <c r="C106" s="86"/>
      <c r="D106" s="41"/>
      <c r="E106" s="41"/>
      <c r="F106" s="41"/>
      <c r="G106" s="171"/>
      <c r="H106" s="127"/>
      <c r="I106" s="168"/>
      <c r="J106" s="127"/>
    </row>
    <row r="107" spans="2:11">
      <c r="B107" s="88"/>
      <c r="C107" s="42"/>
      <c r="D107" s="46"/>
      <c r="E107" s="42"/>
      <c r="F107" s="41"/>
      <c r="G107" s="171"/>
      <c r="H107" s="127"/>
      <c r="I107" s="168"/>
      <c r="J107" s="127"/>
    </row>
    <row r="108" spans="2:11">
      <c r="B108" s="89"/>
      <c r="C108" s="90"/>
      <c r="D108" s="46"/>
      <c r="E108" s="91"/>
      <c r="F108" s="92"/>
      <c r="G108" s="171"/>
      <c r="H108" s="127"/>
      <c r="I108" s="168"/>
      <c r="J108" s="127"/>
    </row>
    <row r="109" spans="2:11">
      <c r="B109" s="88"/>
      <c r="C109" s="42"/>
      <c r="D109" s="46"/>
      <c r="E109" s="41"/>
      <c r="F109" s="41"/>
      <c r="G109" s="171"/>
      <c r="H109" s="127"/>
      <c r="I109" s="168"/>
      <c r="J109" s="127"/>
    </row>
    <row r="110" spans="2:11">
      <c r="B110" s="89"/>
      <c r="C110" s="90"/>
      <c r="D110" s="46"/>
      <c r="E110" s="91"/>
      <c r="F110" s="92"/>
      <c r="G110" s="171"/>
      <c r="H110" s="127"/>
      <c r="I110" s="168"/>
      <c r="J110" s="127"/>
    </row>
    <row r="111" spans="2:11">
      <c r="B111" s="84"/>
      <c r="C111" s="42"/>
      <c r="D111" s="41"/>
      <c r="E111" s="41"/>
      <c r="F111" s="41"/>
      <c r="G111" s="171"/>
      <c r="H111" s="127"/>
      <c r="I111" s="168"/>
      <c r="J111" s="127"/>
    </row>
    <row r="112" spans="2:11">
      <c r="B112" s="84"/>
      <c r="C112" s="42"/>
      <c r="D112" s="41"/>
      <c r="E112" s="42"/>
      <c r="F112" s="41"/>
      <c r="G112" s="171"/>
      <c r="H112" s="127"/>
      <c r="I112" s="168"/>
      <c r="J112" s="127"/>
    </row>
    <row r="113" spans="2:11">
      <c r="B113" s="15"/>
      <c r="C113" s="13"/>
      <c r="D113" s="14"/>
      <c r="E113" s="14"/>
      <c r="F113" s="14"/>
      <c r="G113" s="171"/>
      <c r="H113" s="127"/>
      <c r="I113" s="168"/>
      <c r="J113" s="127"/>
    </row>
    <row r="114" spans="2:11">
      <c r="B114" s="15"/>
      <c r="C114" s="13"/>
      <c r="D114" s="14"/>
      <c r="E114" s="14"/>
      <c r="F114" s="14"/>
      <c r="G114" s="171"/>
      <c r="H114" s="127"/>
      <c r="I114" s="168"/>
      <c r="J114" s="127"/>
    </row>
    <row r="115" spans="2:11">
      <c r="B115" s="15"/>
      <c r="C115" s="13"/>
      <c r="D115" s="14"/>
      <c r="E115" s="14"/>
      <c r="F115" s="14"/>
      <c r="G115" s="171"/>
      <c r="H115" s="127"/>
      <c r="I115" s="168"/>
      <c r="J115" s="127"/>
    </row>
    <row r="116" spans="2:11">
      <c r="B116" s="15"/>
      <c r="C116" s="13"/>
      <c r="D116" s="14"/>
      <c r="E116" s="14"/>
      <c r="F116" s="14"/>
      <c r="G116" s="171"/>
      <c r="H116" s="127"/>
      <c r="I116" s="168"/>
      <c r="J116" s="127"/>
    </row>
    <row r="117" spans="2:11">
      <c r="B117" s="15"/>
      <c r="C117" s="13"/>
      <c r="D117" s="14"/>
      <c r="E117" s="14"/>
      <c r="F117" s="14"/>
      <c r="G117" s="171"/>
      <c r="H117" s="127"/>
      <c r="I117" s="168"/>
      <c r="J117" s="127"/>
    </row>
    <row r="118" spans="2:11">
      <c r="B118" s="15"/>
      <c r="C118" s="13"/>
      <c r="D118" s="14"/>
      <c r="E118" s="14"/>
      <c r="F118" s="14"/>
      <c r="G118" s="171"/>
      <c r="H118" s="127"/>
      <c r="I118" s="168"/>
      <c r="J118" s="127"/>
    </row>
    <row r="119" spans="2:11">
      <c r="B119" s="15"/>
      <c r="C119" s="13"/>
      <c r="D119" s="14"/>
      <c r="E119" s="14"/>
      <c r="F119" s="14"/>
      <c r="G119" s="171"/>
      <c r="H119" s="127"/>
      <c r="I119" s="168"/>
      <c r="J119" s="127"/>
    </row>
    <row r="120" spans="2:11">
      <c r="B120" s="15"/>
      <c r="C120" s="13"/>
      <c r="D120" s="14"/>
      <c r="E120" s="14"/>
      <c r="F120" s="14"/>
      <c r="G120" s="171"/>
      <c r="H120" s="127"/>
      <c r="I120" s="168"/>
      <c r="J120" s="127"/>
    </row>
    <row r="121" spans="2:11">
      <c r="B121" s="15"/>
      <c r="C121" s="13"/>
      <c r="D121" s="14"/>
      <c r="E121" s="14"/>
      <c r="F121" s="14"/>
      <c r="G121" s="171"/>
      <c r="H121" s="127"/>
      <c r="I121" s="168"/>
      <c r="J121" s="127"/>
      <c r="K121" s="168"/>
    </row>
    <row r="122" spans="2:11">
      <c r="G122" s="171"/>
      <c r="H122" s="127"/>
      <c r="I122" s="168"/>
      <c r="J122" s="127"/>
      <c r="K122" s="168"/>
    </row>
    <row r="123" spans="2:11">
      <c r="G123" s="171"/>
      <c r="H123" s="127"/>
      <c r="I123" s="168"/>
      <c r="J123" s="127"/>
      <c r="K123" s="168"/>
    </row>
    <row r="124" spans="2:11">
      <c r="G124" s="171"/>
      <c r="H124" s="127"/>
      <c r="I124" s="168"/>
      <c r="J124" s="127"/>
      <c r="K124" s="168"/>
    </row>
    <row r="125" spans="2:11">
      <c r="G125" s="171"/>
      <c r="H125" s="127"/>
      <c r="I125" s="168"/>
      <c r="J125" s="127"/>
      <c r="K125" s="168"/>
    </row>
    <row r="126" spans="2:11">
      <c r="B126" s="35" t="s">
        <v>496</v>
      </c>
      <c r="C126" s="32" t="s">
        <v>23</v>
      </c>
      <c r="E126" s="15"/>
      <c r="F126" s="15"/>
      <c r="G126" s="171"/>
      <c r="H126" s="127"/>
      <c r="I126" s="168"/>
      <c r="J126" s="127"/>
      <c r="K126" s="168"/>
    </row>
    <row r="127" spans="2:11" ht="15.75">
      <c r="B127" s="21" t="s">
        <v>224</v>
      </c>
      <c r="C127" s="23" t="s">
        <v>334</v>
      </c>
      <c r="D127" s="15"/>
      <c r="E127" s="127"/>
      <c r="G127" s="171"/>
      <c r="H127" s="167"/>
      <c r="I127" s="168"/>
      <c r="J127" s="127"/>
      <c r="K127" s="168"/>
    </row>
    <row r="128" spans="2:11">
      <c r="B128" s="19" t="s">
        <v>6</v>
      </c>
      <c r="C128" s="25">
        <f>(C62/12)*C69 / 2</f>
        <v>540</v>
      </c>
      <c r="D128" s="15" t="s">
        <v>16</v>
      </c>
      <c r="E128" s="127"/>
      <c r="F128" s="16"/>
      <c r="G128" s="171"/>
      <c r="H128" s="141"/>
      <c r="I128" s="168"/>
      <c r="J128" s="127"/>
      <c r="K128" s="168"/>
    </row>
    <row r="129" spans="2:11" ht="15.75">
      <c r="B129" s="21" t="s">
        <v>225</v>
      </c>
      <c r="C129" s="23" t="s">
        <v>334</v>
      </c>
      <c r="D129" s="15"/>
      <c r="E129" s="127"/>
      <c r="F129" s="15"/>
      <c r="G129" s="171"/>
      <c r="H129" s="141"/>
      <c r="I129" s="168"/>
      <c r="J129" s="127"/>
      <c r="K129" s="168"/>
    </row>
    <row r="130" spans="2:11">
      <c r="B130" s="21" t="s">
        <v>6</v>
      </c>
      <c r="C130" s="25">
        <f>C128</f>
        <v>540</v>
      </c>
      <c r="D130" s="15" t="s">
        <v>16</v>
      </c>
      <c r="E130" s="127"/>
      <c r="F130" s="15"/>
      <c r="G130" s="171"/>
      <c r="H130" s="167"/>
      <c r="I130" s="168"/>
      <c r="J130" s="127"/>
      <c r="K130" s="168"/>
    </row>
    <row r="131" spans="2:11">
      <c r="B131" s="21" t="s">
        <v>335</v>
      </c>
      <c r="C131" s="23" t="s">
        <v>336</v>
      </c>
      <c r="D131" s="15"/>
      <c r="E131" s="127"/>
      <c r="F131" s="15"/>
      <c r="G131" s="171"/>
      <c r="H131" s="127"/>
      <c r="I131" s="168"/>
      <c r="J131" s="127"/>
      <c r="K131" s="168"/>
    </row>
    <row r="132" spans="2:11">
      <c r="B132" s="19" t="s">
        <v>6</v>
      </c>
      <c r="C132" s="25">
        <f>(C62/12)*C69^2 / 24</f>
        <v>9720</v>
      </c>
      <c r="D132" s="15" t="s">
        <v>21</v>
      </c>
      <c r="E132" s="127"/>
      <c r="F132" s="15"/>
      <c r="G132" s="171"/>
      <c r="H132" s="127"/>
      <c r="I132" s="168"/>
      <c r="J132" s="127"/>
      <c r="K132" s="168"/>
    </row>
    <row r="133" spans="2:11">
      <c r="B133" s="21" t="s">
        <v>147</v>
      </c>
      <c r="C133" s="23" t="s">
        <v>337</v>
      </c>
      <c r="D133" s="15"/>
      <c r="E133" s="127"/>
      <c r="F133" s="15"/>
      <c r="G133" s="171"/>
      <c r="H133" s="127"/>
      <c r="I133" s="168"/>
      <c r="J133" s="127"/>
      <c r="K133" s="168"/>
    </row>
    <row r="134" spans="2:11">
      <c r="B134" s="21" t="s">
        <v>6</v>
      </c>
      <c r="C134" s="25">
        <f>($C$62/12)*$C$69^2 / 12</f>
        <v>19440</v>
      </c>
      <c r="D134" s="23" t="s">
        <v>21</v>
      </c>
      <c r="E134" s="127"/>
      <c r="F134" s="15"/>
      <c r="G134" s="171"/>
      <c r="H134" s="127"/>
      <c r="I134" s="168"/>
      <c r="J134" s="127"/>
      <c r="K134" s="168"/>
    </row>
    <row r="135" spans="2:11">
      <c r="B135" s="21" t="s">
        <v>148</v>
      </c>
      <c r="C135" s="23" t="s">
        <v>337</v>
      </c>
      <c r="E135" s="127"/>
      <c r="F135" s="15"/>
      <c r="G135" s="171"/>
      <c r="H135" s="127"/>
      <c r="I135" s="168"/>
      <c r="J135" s="127"/>
      <c r="K135" s="168"/>
    </row>
    <row r="136" spans="2:11">
      <c r="B136" s="21" t="s">
        <v>6</v>
      </c>
      <c r="C136" s="25">
        <f>($C$62/12)*$C$69^2 / 12</f>
        <v>19440</v>
      </c>
      <c r="D136" s="23" t="s">
        <v>21</v>
      </c>
      <c r="E136" s="127"/>
      <c r="F136" s="15"/>
      <c r="G136" s="171"/>
      <c r="H136" s="127"/>
      <c r="I136" s="168"/>
      <c r="J136" s="127"/>
      <c r="K136" s="168"/>
    </row>
    <row r="137" spans="2:11">
      <c r="B137" s="21" t="s">
        <v>254</v>
      </c>
      <c r="C137" s="55" t="s">
        <v>338</v>
      </c>
      <c r="D137" s="15"/>
      <c r="E137" s="127"/>
      <c r="F137" s="15"/>
      <c r="G137" s="171"/>
      <c r="H137" s="127"/>
      <c r="I137" s="168"/>
      <c r="J137" s="127"/>
      <c r="K137" s="168"/>
    </row>
    <row r="138" spans="2:11">
      <c r="B138" s="21" t="s">
        <v>6</v>
      </c>
      <c r="C138" s="81">
        <f>((C62/12)/12)*(6*C69*C60 - C69^2 - 6*C60^2)</f>
        <v>7760</v>
      </c>
      <c r="D138" s="15" t="s">
        <v>21</v>
      </c>
      <c r="E138" s="127"/>
      <c r="F138" s="15"/>
      <c r="G138" s="171"/>
      <c r="H138" s="127"/>
      <c r="I138" s="168"/>
      <c r="J138" s="127"/>
      <c r="K138" s="168"/>
    </row>
    <row r="139" spans="2:11">
      <c r="G139" s="171"/>
      <c r="H139" s="127"/>
      <c r="I139" s="168"/>
      <c r="J139" s="127"/>
      <c r="K139" s="168"/>
    </row>
    <row r="140" spans="2:11">
      <c r="B140" s="58"/>
      <c r="C140" s="33"/>
      <c r="D140" s="28"/>
      <c r="E140" s="33"/>
      <c r="F140" s="15"/>
      <c r="G140" s="171"/>
      <c r="H140" s="127"/>
      <c r="I140" s="168"/>
      <c r="J140" s="127"/>
      <c r="K140" s="168"/>
    </row>
    <row r="141" spans="2:11">
      <c r="B141" s="57"/>
      <c r="C141" s="32"/>
      <c r="D141" s="15"/>
      <c r="E141" s="15"/>
      <c r="F141" s="14"/>
      <c r="G141" s="171"/>
      <c r="H141" s="127"/>
      <c r="I141" s="168"/>
      <c r="J141" s="127"/>
      <c r="K141" s="168"/>
    </row>
    <row r="142" spans="2:11">
      <c r="B142" s="35" t="s">
        <v>498</v>
      </c>
      <c r="C142" s="32" t="s">
        <v>299</v>
      </c>
      <c r="D142" s="15"/>
      <c r="E142" s="14"/>
      <c r="F142" s="14"/>
      <c r="G142" s="171"/>
      <c r="H142" s="127"/>
      <c r="I142" s="168"/>
      <c r="J142" s="127"/>
      <c r="K142" s="168"/>
    </row>
    <row r="143" spans="2:11" ht="15.75">
      <c r="B143" s="21" t="s">
        <v>150</v>
      </c>
      <c r="C143" s="55" t="s">
        <v>151</v>
      </c>
      <c r="D143" s="83"/>
      <c r="F143" s="14"/>
      <c r="G143" s="171"/>
      <c r="H143" s="127"/>
      <c r="I143" s="168"/>
      <c r="J143" s="127"/>
      <c r="K143" s="168"/>
    </row>
    <row r="144" spans="2:11">
      <c r="B144" s="21" t="s">
        <v>6</v>
      </c>
      <c r="C144" s="82">
        <f>((C62/12)*C69^4)/(384*C65*C64)</f>
        <v>9.932548359966359E-4</v>
      </c>
      <c r="D144" s="55" t="s">
        <v>20</v>
      </c>
      <c r="F144" s="14"/>
      <c r="G144" s="171"/>
      <c r="H144" s="127"/>
      <c r="I144" s="168"/>
      <c r="J144" s="127"/>
      <c r="K144" s="168"/>
    </row>
    <row r="145" spans="2:11">
      <c r="B145" s="21" t="s">
        <v>345</v>
      </c>
      <c r="C145" s="55" t="s">
        <v>339</v>
      </c>
      <c r="D145" s="55"/>
      <c r="G145" s="171"/>
      <c r="H145" s="127"/>
      <c r="I145" s="168"/>
      <c r="J145" s="127"/>
      <c r="K145" s="168"/>
    </row>
    <row r="146" spans="2:11">
      <c r="B146" s="21" t="s">
        <v>6</v>
      </c>
      <c r="C146" s="82">
        <f>(((C62/12)*C60^2)/(24*C65*C64))*(C69-C60)^2</f>
        <v>8.6421829735538731E-4</v>
      </c>
      <c r="D146" s="55" t="s">
        <v>20</v>
      </c>
      <c r="G146" s="171"/>
      <c r="H146" s="127"/>
      <c r="I146" s="168"/>
      <c r="J146" s="127"/>
      <c r="K146" s="168"/>
    </row>
    <row r="147" spans="2:11">
      <c r="B147" s="44"/>
      <c r="C147" s="78"/>
      <c r="D147" s="93"/>
      <c r="E147" s="14"/>
      <c r="F147" s="14"/>
      <c r="G147" s="171"/>
      <c r="H147" s="127"/>
      <c r="I147" s="168"/>
      <c r="J147" s="127"/>
      <c r="K147" s="168"/>
    </row>
    <row r="148" spans="2:11">
      <c r="B148" s="58"/>
      <c r="C148" s="33"/>
      <c r="D148" s="28"/>
      <c r="E148" s="33"/>
      <c r="F148" s="14"/>
      <c r="G148" s="171"/>
      <c r="H148" s="127"/>
      <c r="I148" s="168"/>
      <c r="J148" s="127"/>
      <c r="K148" s="168"/>
    </row>
    <row r="149" spans="2:11">
      <c r="B149" s="15"/>
      <c r="C149" s="13"/>
      <c r="D149" s="14"/>
      <c r="E149" s="14"/>
      <c r="F149" s="15"/>
      <c r="G149" s="171"/>
      <c r="H149" s="127"/>
      <c r="I149" s="168"/>
      <c r="J149" s="127"/>
      <c r="K149" s="168"/>
    </row>
    <row r="150" spans="2:11" ht="15.75">
      <c r="B150" s="103" t="s">
        <v>192</v>
      </c>
      <c r="G150" s="171"/>
      <c r="H150" s="127"/>
      <c r="I150" s="168"/>
      <c r="J150" s="127"/>
      <c r="K150" s="168"/>
    </row>
    <row r="151" spans="2:11">
      <c r="B151" s="35" t="s">
        <v>74</v>
      </c>
      <c r="G151" s="171"/>
      <c r="H151" s="127"/>
      <c r="I151" s="168"/>
      <c r="J151" s="127"/>
      <c r="K151" s="168"/>
    </row>
    <row r="152" spans="2:11">
      <c r="B152" s="15"/>
      <c r="C152" s="13"/>
      <c r="D152" s="14"/>
      <c r="E152" s="14"/>
      <c r="F152" s="15"/>
      <c r="G152" s="171"/>
      <c r="H152" s="127"/>
      <c r="I152" s="168"/>
      <c r="J152" s="127"/>
      <c r="K152" s="168"/>
    </row>
    <row r="153" spans="2:11">
      <c r="B153" s="21"/>
      <c r="C153" s="23"/>
      <c r="D153" s="15"/>
      <c r="E153" s="15"/>
      <c r="F153" s="14"/>
      <c r="G153" s="171"/>
      <c r="H153" s="127"/>
      <c r="I153" s="168"/>
      <c r="J153" s="127"/>
      <c r="K153" s="168"/>
    </row>
    <row r="154" spans="2:11">
      <c r="B154" s="15"/>
      <c r="C154" s="13"/>
      <c r="D154" s="14"/>
      <c r="E154" s="14"/>
      <c r="F154" s="14"/>
      <c r="G154" s="171"/>
      <c r="H154" s="127"/>
      <c r="I154" s="168"/>
      <c r="J154" s="127"/>
      <c r="K154" s="168"/>
    </row>
    <row r="155" spans="2:11">
      <c r="B155" s="15"/>
      <c r="C155" s="13"/>
      <c r="D155" s="14"/>
      <c r="E155" s="14"/>
      <c r="F155" s="15"/>
      <c r="G155" s="171"/>
      <c r="H155" s="127"/>
      <c r="I155" s="168"/>
      <c r="J155" s="127"/>
      <c r="K155" s="168"/>
    </row>
    <row r="156" spans="2:11">
      <c r="B156" s="15"/>
      <c r="C156" s="13"/>
      <c r="D156" s="14"/>
      <c r="E156" s="14"/>
      <c r="F156" s="14"/>
      <c r="G156" s="171"/>
      <c r="H156" s="127"/>
      <c r="I156" s="168"/>
      <c r="J156" s="127"/>
      <c r="K156" s="168"/>
    </row>
    <row r="157" spans="2:11">
      <c r="B157" s="15"/>
      <c r="C157" s="13"/>
      <c r="D157" s="14"/>
      <c r="E157" s="14"/>
      <c r="F157" s="14"/>
      <c r="G157" s="171"/>
      <c r="H157" s="127"/>
      <c r="I157" s="168"/>
      <c r="J157" s="127"/>
      <c r="K157" s="168"/>
    </row>
    <row r="158" spans="2:11">
      <c r="B158" s="15"/>
      <c r="C158" s="13"/>
      <c r="D158" s="14"/>
      <c r="E158" s="14"/>
      <c r="F158" s="14"/>
      <c r="G158" s="171"/>
      <c r="H158" s="127"/>
      <c r="I158" s="168"/>
      <c r="J158" s="127"/>
      <c r="K158" s="168"/>
    </row>
    <row r="159" spans="2:11">
      <c r="B159" s="15"/>
      <c r="C159" s="13"/>
      <c r="D159" s="14"/>
      <c r="E159" s="14"/>
      <c r="F159" s="14"/>
      <c r="G159" s="171"/>
      <c r="H159" s="127"/>
      <c r="I159" s="168"/>
      <c r="J159" s="127"/>
      <c r="K159" s="168"/>
    </row>
    <row r="160" spans="2:11">
      <c r="B160" s="15"/>
      <c r="C160" s="13"/>
      <c r="D160" s="14"/>
      <c r="E160" s="14"/>
      <c r="F160" s="14"/>
      <c r="G160" s="171"/>
      <c r="H160" s="127"/>
      <c r="I160" s="168"/>
      <c r="J160" s="127"/>
      <c r="K160" s="168"/>
    </row>
    <row r="161" spans="2:11">
      <c r="B161" s="15"/>
      <c r="C161" s="13"/>
      <c r="D161" s="14"/>
      <c r="E161" s="14"/>
      <c r="F161" s="14"/>
      <c r="G161" s="171"/>
      <c r="H161" s="127"/>
      <c r="I161" s="168"/>
      <c r="J161" s="127"/>
      <c r="K161" s="168"/>
    </row>
    <row r="162" spans="2:11">
      <c r="B162" s="15"/>
      <c r="C162" s="13"/>
      <c r="D162" s="14"/>
      <c r="E162" s="14"/>
      <c r="F162" s="14"/>
      <c r="G162" s="171"/>
      <c r="H162" s="127"/>
      <c r="I162" s="168"/>
      <c r="J162" s="127"/>
      <c r="K162" s="168"/>
    </row>
    <row r="163" spans="2:11">
      <c r="B163" s="15"/>
      <c r="C163" s="13"/>
      <c r="D163" s="14"/>
      <c r="E163" s="14"/>
      <c r="F163" s="14"/>
      <c r="G163" s="171"/>
      <c r="H163" s="127"/>
      <c r="I163" s="168"/>
      <c r="J163" s="127"/>
      <c r="K163" s="168"/>
    </row>
    <row r="164" spans="2:11">
      <c r="B164" s="15"/>
      <c r="C164" s="13"/>
      <c r="D164" s="14"/>
      <c r="E164" s="14"/>
      <c r="F164" s="14"/>
      <c r="G164" s="171"/>
      <c r="H164" s="127"/>
      <c r="I164" s="168"/>
      <c r="J164" s="127"/>
      <c r="K164" s="168"/>
    </row>
    <row r="165" spans="2:11">
      <c r="B165" s="15"/>
      <c r="C165" s="13"/>
      <c r="D165" s="14"/>
      <c r="E165" s="14"/>
      <c r="F165" s="14"/>
      <c r="G165" s="171"/>
      <c r="H165" s="127"/>
      <c r="I165" s="168"/>
      <c r="J165" s="127"/>
      <c r="K165" s="168"/>
    </row>
    <row r="166" spans="2:11">
      <c r="B166" s="15"/>
      <c r="C166" s="13"/>
      <c r="D166" s="14"/>
      <c r="E166" s="14"/>
      <c r="F166" s="14"/>
      <c r="G166" s="171"/>
      <c r="H166" s="127"/>
      <c r="I166" s="168"/>
      <c r="J166" s="127"/>
      <c r="K166" s="168"/>
    </row>
    <row r="167" spans="2:11">
      <c r="B167" s="15"/>
      <c r="C167" s="13"/>
      <c r="D167" s="14"/>
      <c r="E167" s="14"/>
      <c r="F167" s="14"/>
      <c r="G167" s="171"/>
      <c r="H167" s="127"/>
      <c r="I167" s="168"/>
      <c r="J167" s="127"/>
      <c r="K167" s="168"/>
    </row>
    <row r="168" spans="2:11">
      <c r="B168" s="15"/>
      <c r="C168" s="13"/>
      <c r="D168" s="14"/>
      <c r="E168" s="14"/>
      <c r="F168" s="14"/>
      <c r="G168" s="171"/>
      <c r="H168" s="127"/>
      <c r="I168" s="168"/>
      <c r="J168" s="127"/>
      <c r="K168" s="168"/>
    </row>
    <row r="169" spans="2:11">
      <c r="B169" s="15"/>
      <c r="C169" s="13"/>
      <c r="D169" s="14"/>
      <c r="E169" s="14"/>
      <c r="F169" s="14"/>
      <c r="G169" s="171"/>
      <c r="H169" s="127"/>
      <c r="I169" s="168"/>
      <c r="J169" s="127"/>
      <c r="K169" s="168"/>
    </row>
    <row r="170" spans="2:11">
      <c r="B170" s="15"/>
      <c r="C170" s="13"/>
      <c r="D170" s="14"/>
      <c r="E170" s="14"/>
      <c r="F170" s="14"/>
      <c r="G170" s="171"/>
      <c r="H170" s="127"/>
      <c r="I170" s="168"/>
      <c r="J170" s="127"/>
      <c r="K170" s="168"/>
    </row>
    <row r="171" spans="2:11">
      <c r="B171" s="16"/>
      <c r="C171" s="13"/>
      <c r="D171" s="14"/>
      <c r="E171" s="14"/>
      <c r="F171" s="14"/>
      <c r="G171" s="171"/>
      <c r="H171" s="127"/>
      <c r="I171" s="168"/>
      <c r="J171" s="127"/>
      <c r="K171" s="168"/>
    </row>
    <row r="172" spans="2:11">
      <c r="B172" s="15"/>
      <c r="C172" s="13"/>
      <c r="D172" s="14"/>
      <c r="E172" s="14"/>
      <c r="F172" s="14"/>
      <c r="G172" s="171"/>
      <c r="H172" s="127"/>
      <c r="I172" s="168"/>
      <c r="J172" s="127"/>
      <c r="K172" s="168"/>
    </row>
    <row r="173" spans="2:11">
      <c r="B173" s="15"/>
      <c r="C173" s="13"/>
      <c r="D173" s="14"/>
      <c r="E173" s="14"/>
      <c r="F173" s="14"/>
      <c r="G173" s="171"/>
      <c r="H173" s="127"/>
      <c r="I173" s="168"/>
      <c r="J173" s="127"/>
      <c r="K173" s="168"/>
    </row>
    <row r="174" spans="2:11">
      <c r="B174" s="15"/>
      <c r="C174" s="13"/>
      <c r="D174" s="14"/>
      <c r="E174" s="14"/>
      <c r="F174" s="14"/>
      <c r="G174" s="171"/>
      <c r="H174" s="127"/>
      <c r="I174" s="168"/>
      <c r="J174" s="127"/>
      <c r="K174" s="168"/>
    </row>
    <row r="175" spans="2:11">
      <c r="B175" s="15"/>
      <c r="C175" s="13"/>
      <c r="D175" s="14"/>
      <c r="E175" s="14"/>
      <c r="F175" s="14"/>
      <c r="G175" s="171"/>
      <c r="H175" s="127"/>
      <c r="I175" s="168"/>
      <c r="J175" s="127"/>
      <c r="K175" s="168"/>
    </row>
    <row r="176" spans="2:11">
      <c r="B176" s="15"/>
      <c r="C176" s="13"/>
      <c r="D176" s="14"/>
      <c r="E176" s="14"/>
      <c r="F176" s="14"/>
      <c r="G176" s="171"/>
      <c r="H176" s="127"/>
      <c r="I176" s="168"/>
      <c r="J176" s="127"/>
      <c r="K176" s="168"/>
    </row>
    <row r="177" spans="2:11">
      <c r="B177" s="15"/>
      <c r="C177" s="13"/>
      <c r="D177" s="14"/>
      <c r="E177" s="14"/>
      <c r="F177" s="14"/>
      <c r="G177" s="171"/>
      <c r="H177" s="127"/>
      <c r="I177" s="168"/>
      <c r="J177" s="127"/>
      <c r="K177" s="168"/>
    </row>
    <row r="178" spans="2:11">
      <c r="B178" s="24" t="s">
        <v>22</v>
      </c>
      <c r="C178" s="13"/>
      <c r="D178" s="14"/>
      <c r="E178" s="14"/>
      <c r="F178" s="14"/>
      <c r="G178" s="171"/>
      <c r="H178" s="127"/>
      <c r="I178" s="168"/>
      <c r="J178" s="127"/>
      <c r="K178" s="168"/>
    </row>
    <row r="179" spans="2:11">
      <c r="B179" s="15"/>
      <c r="C179" s="13"/>
      <c r="D179" s="14"/>
      <c r="E179" s="14"/>
      <c r="F179" s="14"/>
      <c r="G179" s="171"/>
      <c r="H179" s="127"/>
      <c r="I179" s="168"/>
      <c r="J179" s="127"/>
      <c r="K179" s="168"/>
    </row>
    <row r="180" spans="2:11">
      <c r="B180" s="15"/>
      <c r="C180" s="13"/>
      <c r="D180" s="14"/>
      <c r="E180" s="14"/>
      <c r="F180" s="14"/>
      <c r="G180" s="171"/>
      <c r="H180" s="127"/>
      <c r="I180" s="168"/>
      <c r="J180" s="127"/>
      <c r="K180" s="168"/>
    </row>
    <row r="181" spans="2:11">
      <c r="B181" s="15"/>
      <c r="C181" s="13"/>
      <c r="D181" s="14"/>
      <c r="E181" s="14"/>
      <c r="F181" s="14"/>
      <c r="G181" s="171"/>
      <c r="H181" s="127"/>
      <c r="I181" s="168"/>
      <c r="J181" s="127"/>
      <c r="K181" s="168"/>
    </row>
    <row r="182" spans="2:11">
      <c r="B182" s="15"/>
      <c r="C182" s="13"/>
      <c r="D182" s="14"/>
      <c r="E182" s="14"/>
      <c r="F182" s="14"/>
      <c r="G182" s="171"/>
      <c r="H182" s="127"/>
      <c r="I182" s="168"/>
      <c r="J182" s="127"/>
      <c r="K182" s="168"/>
    </row>
    <row r="183" spans="2:11">
      <c r="B183" s="15"/>
      <c r="C183" s="13"/>
      <c r="D183" s="14"/>
      <c r="E183" s="14"/>
      <c r="F183" s="14"/>
      <c r="G183" s="171"/>
      <c r="H183" s="127"/>
      <c r="I183" s="168"/>
      <c r="J183" s="127"/>
      <c r="K183" s="168"/>
    </row>
    <row r="184" spans="2:11">
      <c r="B184" s="15"/>
      <c r="C184" s="13"/>
      <c r="D184" s="14"/>
      <c r="E184" s="14"/>
      <c r="F184" s="14"/>
      <c r="G184" s="171"/>
      <c r="H184" s="127"/>
      <c r="I184" s="168"/>
      <c r="J184" s="127"/>
      <c r="K184" s="168"/>
    </row>
    <row r="185" spans="2:11">
      <c r="G185" s="171"/>
      <c r="H185" s="127"/>
      <c r="I185" s="168"/>
      <c r="J185" s="127"/>
      <c r="K185" s="168"/>
    </row>
    <row r="186" spans="2:11">
      <c r="E186" s="14"/>
      <c r="F186" s="14"/>
      <c r="G186" s="171"/>
      <c r="H186" s="127"/>
      <c r="I186" s="168"/>
      <c r="J186" s="127"/>
      <c r="K186" s="168"/>
    </row>
    <row r="187" spans="2:11">
      <c r="E187" s="15"/>
      <c r="F187" s="14"/>
      <c r="G187" s="171"/>
      <c r="H187" s="127"/>
      <c r="I187" s="168"/>
      <c r="J187" s="127"/>
      <c r="K187" s="168"/>
    </row>
    <row r="188" spans="2:11">
      <c r="C188" s="32" t="s">
        <v>298</v>
      </c>
      <c r="G188" s="171"/>
      <c r="H188" s="127"/>
      <c r="I188" s="168"/>
      <c r="J188" s="127"/>
      <c r="K188" s="168"/>
    </row>
    <row r="189" spans="2:11">
      <c r="B189" s="21" t="s">
        <v>234</v>
      </c>
      <c r="C189" s="74">
        <f>$C$58</f>
        <v>120</v>
      </c>
      <c r="D189" s="94" t="s">
        <v>20</v>
      </c>
      <c r="G189" s="171"/>
      <c r="H189" s="127"/>
      <c r="I189" s="168"/>
      <c r="J189" s="127"/>
      <c r="K189" s="168"/>
    </row>
    <row r="190" spans="2:11">
      <c r="B190" s="21" t="s">
        <v>233</v>
      </c>
      <c r="C190" s="77">
        <f>$C$60</f>
        <v>80</v>
      </c>
      <c r="D190" s="15" t="s">
        <v>29</v>
      </c>
      <c r="G190" s="171"/>
      <c r="H190" s="127"/>
      <c r="I190" s="168"/>
      <c r="J190" s="127"/>
      <c r="K190" s="168"/>
    </row>
    <row r="191" spans="2:11" ht="16.5" thickBot="1">
      <c r="B191" s="21" t="s">
        <v>156</v>
      </c>
      <c r="C191" s="55" t="s">
        <v>152</v>
      </c>
      <c r="D191" s="14"/>
      <c r="E191" s="14"/>
      <c r="F191" s="14"/>
      <c r="G191" s="171"/>
      <c r="H191" s="127"/>
      <c r="I191" s="168"/>
      <c r="J191" s="127"/>
      <c r="K191" s="168"/>
    </row>
    <row r="192" spans="2:11" ht="13.5" thickBot="1">
      <c r="B192" s="21" t="s">
        <v>6</v>
      </c>
      <c r="C192" s="81">
        <f>C83 + C138</f>
        <v>56045.322359396421</v>
      </c>
      <c r="D192" s="15" t="s">
        <v>21</v>
      </c>
      <c r="E192" s="123" t="str">
        <f>IF($C$60&lt;$C$58,"x &lt; a, OK","x &gt; a Not OK")</f>
        <v>x &lt; a, OK</v>
      </c>
      <c r="F192" s="14"/>
      <c r="G192" s="171"/>
      <c r="H192" s="127"/>
      <c r="I192" s="168"/>
      <c r="J192" s="127"/>
      <c r="K192" s="168"/>
    </row>
    <row r="193" spans="2:11">
      <c r="B193" s="15"/>
      <c r="C193" s="13"/>
      <c r="D193" s="14"/>
      <c r="G193" s="171"/>
      <c r="H193" s="127"/>
      <c r="I193" s="168"/>
      <c r="J193" s="127"/>
      <c r="K193" s="168"/>
    </row>
    <row r="194" spans="2:11" ht="13.5" thickBot="1">
      <c r="B194" s="21" t="s">
        <v>242</v>
      </c>
      <c r="C194" t="s">
        <v>155</v>
      </c>
      <c r="G194" s="171"/>
      <c r="H194" s="127"/>
      <c r="I194" s="168"/>
      <c r="J194" s="127"/>
      <c r="K194" s="168"/>
    </row>
    <row r="195" spans="2:11" ht="13.5" thickBot="1">
      <c r="C195" s="96">
        <f>C94 + C146</f>
        <v>9.8104917318157792E-3</v>
      </c>
      <c r="D195" s="23" t="s">
        <v>20</v>
      </c>
      <c r="E195" s="123" t="str">
        <f>IF($C$60&lt;$C$58,"x &lt; a, OK","x &gt; a Not OK")</f>
        <v>x &lt; a, OK</v>
      </c>
      <c r="G195" s="171"/>
      <c r="H195" s="127"/>
      <c r="I195" s="168"/>
      <c r="J195" s="127"/>
      <c r="K195" s="168"/>
    </row>
    <row r="196" spans="2:11">
      <c r="G196" s="171"/>
      <c r="H196" s="127"/>
      <c r="I196" s="168"/>
      <c r="J196" s="127"/>
      <c r="K196" s="168"/>
    </row>
    <row r="197" spans="2:11">
      <c r="B197" s="58"/>
      <c r="C197" s="33"/>
      <c r="D197" s="28"/>
      <c r="E197" s="33"/>
      <c r="G197" s="171"/>
      <c r="H197" s="127"/>
      <c r="I197" s="168"/>
      <c r="J197" s="127"/>
      <c r="K197" s="168"/>
    </row>
    <row r="198" spans="2:11">
      <c r="G198" s="171"/>
      <c r="H198" s="127"/>
      <c r="I198" s="168"/>
      <c r="J198" s="127"/>
      <c r="K198" s="168"/>
    </row>
    <row r="199" spans="2:11" ht="15.75">
      <c r="B199" s="103" t="s">
        <v>194</v>
      </c>
      <c r="G199" s="171"/>
      <c r="H199" s="127"/>
      <c r="I199" s="168"/>
      <c r="J199" s="127"/>
      <c r="K199" s="168"/>
    </row>
    <row r="200" spans="2:11">
      <c r="B200" s="35" t="s">
        <v>74</v>
      </c>
      <c r="G200" s="171"/>
      <c r="H200" s="127"/>
      <c r="I200" s="168"/>
      <c r="J200" s="127"/>
      <c r="K200" s="168"/>
    </row>
    <row r="201" spans="2:11">
      <c r="G201" s="171"/>
      <c r="H201" s="127"/>
      <c r="I201" s="168"/>
      <c r="J201" s="127"/>
      <c r="K201" s="168"/>
    </row>
    <row r="202" spans="2:11">
      <c r="G202" s="171"/>
      <c r="H202" s="127"/>
      <c r="I202" s="168"/>
      <c r="J202" s="127"/>
      <c r="K202" s="168"/>
    </row>
    <row r="203" spans="2:11">
      <c r="G203" s="171"/>
      <c r="H203" s="127"/>
      <c r="I203" s="168"/>
      <c r="J203" s="127"/>
      <c r="K203" s="168"/>
    </row>
    <row r="204" spans="2:11">
      <c r="G204" s="171"/>
      <c r="H204" s="127"/>
      <c r="I204" s="168"/>
      <c r="J204" s="127"/>
      <c r="K204" s="168"/>
    </row>
    <row r="205" spans="2:11">
      <c r="G205" s="171"/>
      <c r="H205" s="127"/>
      <c r="I205" s="168"/>
      <c r="J205" s="127"/>
      <c r="K205" s="168"/>
    </row>
    <row r="206" spans="2:11">
      <c r="G206" s="171"/>
      <c r="H206" s="127"/>
      <c r="I206" s="168"/>
      <c r="J206" s="127"/>
      <c r="K206" s="168"/>
    </row>
    <row r="207" spans="2:11">
      <c r="G207" s="171"/>
      <c r="H207" s="127"/>
      <c r="I207" s="168"/>
      <c r="J207" s="127"/>
      <c r="K207" s="168"/>
    </row>
    <row r="208" spans="2:11">
      <c r="G208" s="171"/>
      <c r="H208" s="127"/>
      <c r="I208" s="168"/>
      <c r="J208" s="127"/>
      <c r="K208" s="168"/>
    </row>
    <row r="209" spans="7:11">
      <c r="G209" s="171"/>
      <c r="H209" s="127"/>
      <c r="I209" s="168"/>
      <c r="J209" s="127"/>
      <c r="K209" s="168"/>
    </row>
    <row r="210" spans="7:11">
      <c r="G210" s="171"/>
      <c r="H210" s="127"/>
      <c r="I210" s="168"/>
      <c r="J210" s="127"/>
      <c r="K210" s="168"/>
    </row>
    <row r="211" spans="7:11">
      <c r="G211" s="171"/>
      <c r="H211" s="127"/>
      <c r="I211" s="168"/>
      <c r="J211" s="127"/>
      <c r="K211" s="168"/>
    </row>
    <row r="212" spans="7:11">
      <c r="G212" s="171"/>
      <c r="H212" s="127"/>
      <c r="I212" s="168"/>
      <c r="J212" s="127"/>
      <c r="K212" s="168"/>
    </row>
    <row r="213" spans="7:11">
      <c r="G213" s="171"/>
      <c r="H213" s="127"/>
      <c r="I213" s="168"/>
      <c r="J213" s="127"/>
      <c r="K213" s="168"/>
    </row>
    <row r="214" spans="7:11">
      <c r="G214" s="171"/>
      <c r="H214" s="127"/>
      <c r="I214" s="168"/>
      <c r="J214" s="127"/>
      <c r="K214" s="168"/>
    </row>
    <row r="215" spans="7:11">
      <c r="G215" s="171"/>
      <c r="H215" s="127"/>
      <c r="I215" s="168"/>
      <c r="J215" s="127"/>
      <c r="K215" s="168"/>
    </row>
    <row r="216" spans="7:11">
      <c r="G216" s="171"/>
      <c r="H216" s="127"/>
      <c r="I216" s="130"/>
      <c r="J216" s="127"/>
      <c r="K216" s="168"/>
    </row>
    <row r="217" spans="7:11">
      <c r="G217" s="302"/>
      <c r="H217" s="127"/>
      <c r="I217" s="168"/>
      <c r="J217" s="127"/>
      <c r="K217" s="168"/>
    </row>
    <row r="218" spans="7:11">
      <c r="G218" s="149"/>
      <c r="H218" s="127"/>
      <c r="I218" s="168"/>
      <c r="J218" s="127"/>
      <c r="K218" s="168"/>
    </row>
    <row r="219" spans="7:11">
      <c r="G219" s="171"/>
      <c r="H219" s="127"/>
      <c r="I219" s="168"/>
      <c r="J219" s="127"/>
      <c r="K219" s="168"/>
    </row>
    <row r="220" spans="7:11">
      <c r="G220" s="171"/>
      <c r="H220" s="127"/>
      <c r="I220" s="168"/>
      <c r="J220" s="127"/>
      <c r="K220" s="168"/>
    </row>
    <row r="221" spans="7:11">
      <c r="G221" s="171"/>
      <c r="H221" s="127"/>
      <c r="I221" s="168"/>
      <c r="J221" s="127"/>
      <c r="K221" s="168"/>
    </row>
    <row r="222" spans="7:11">
      <c r="G222" s="171"/>
      <c r="H222" s="127"/>
      <c r="I222" s="168"/>
      <c r="J222" s="127"/>
      <c r="K222" s="168"/>
    </row>
    <row r="223" spans="7:11">
      <c r="G223" s="171"/>
      <c r="H223" s="127"/>
      <c r="I223" s="168"/>
      <c r="J223" s="127"/>
      <c r="K223" s="168"/>
    </row>
    <row r="224" spans="7:11">
      <c r="G224" s="171"/>
      <c r="H224" s="127"/>
      <c r="I224" s="168"/>
      <c r="J224" s="127"/>
      <c r="K224" s="168"/>
    </row>
    <row r="225" spans="2:11">
      <c r="G225" s="171"/>
      <c r="H225" s="127"/>
      <c r="I225" s="168"/>
      <c r="J225" s="127"/>
      <c r="K225" s="168"/>
    </row>
    <row r="226" spans="2:11">
      <c r="G226" s="171"/>
      <c r="H226" s="127"/>
      <c r="I226" s="168"/>
      <c r="J226" s="127"/>
      <c r="K226" s="168"/>
    </row>
    <row r="227" spans="2:11">
      <c r="G227" s="171"/>
      <c r="H227" s="127"/>
      <c r="I227" s="168"/>
      <c r="J227" s="127"/>
      <c r="K227" s="168"/>
    </row>
    <row r="228" spans="2:11">
      <c r="G228" s="171"/>
      <c r="H228" s="127"/>
      <c r="I228" s="168"/>
      <c r="J228" s="127"/>
      <c r="K228" s="168"/>
    </row>
    <row r="229" spans="2:11" ht="13.5" thickBot="1">
      <c r="B229" s="35" t="s">
        <v>317</v>
      </c>
      <c r="C229" s="32" t="s">
        <v>10</v>
      </c>
      <c r="D229" s="20"/>
      <c r="E229" s="14"/>
      <c r="F229" s="14"/>
      <c r="G229" s="171"/>
      <c r="H229" s="256"/>
      <c r="I229" s="316"/>
      <c r="J229" s="127"/>
      <c r="K229" s="168"/>
    </row>
    <row r="230" spans="2:11" ht="13.5" thickBot="1">
      <c r="B230" s="21" t="s">
        <v>32</v>
      </c>
      <c r="C230" s="52">
        <v>5000</v>
      </c>
      <c r="D230" s="15" t="s">
        <v>16</v>
      </c>
      <c r="E230" s="17" t="s">
        <v>42</v>
      </c>
      <c r="F230" s="183">
        <v>10</v>
      </c>
      <c r="G230" s="303"/>
      <c r="H230" s="22"/>
      <c r="I230" s="317"/>
      <c r="J230" s="127"/>
      <c r="K230" s="122"/>
    </row>
    <row r="231" spans="2:11" ht="13.5" thickBot="1">
      <c r="B231" s="21" t="s">
        <v>499</v>
      </c>
      <c r="C231" s="53">
        <v>120</v>
      </c>
      <c r="D231" s="15" t="s">
        <v>20</v>
      </c>
      <c r="E231" s="71" t="s">
        <v>43</v>
      </c>
      <c r="F231" s="18" t="s">
        <v>44</v>
      </c>
      <c r="G231" s="303"/>
      <c r="H231" s="22"/>
      <c r="I231" s="317"/>
      <c r="J231" s="127"/>
      <c r="K231" s="122"/>
    </row>
    <row r="232" spans="2:11" ht="13.5" thickBot="1">
      <c r="B232" s="21" t="s">
        <v>160</v>
      </c>
      <c r="C232" s="53">
        <v>18</v>
      </c>
      <c r="D232" s="15" t="s">
        <v>17</v>
      </c>
      <c r="E232" s="70" t="s">
        <v>6</v>
      </c>
      <c r="F232" s="18">
        <f>F230*12</f>
        <v>120</v>
      </c>
      <c r="G232" s="303"/>
      <c r="H232" s="22"/>
      <c r="I232" s="317"/>
      <c r="J232" s="127"/>
      <c r="K232" s="122"/>
    </row>
    <row r="233" spans="2:11">
      <c r="B233" s="21" t="s">
        <v>40</v>
      </c>
      <c r="C233" s="53">
        <v>80</v>
      </c>
      <c r="D233" s="15" t="s">
        <v>29</v>
      </c>
      <c r="E233" s="124"/>
      <c r="F233" s="15"/>
      <c r="G233" s="303"/>
      <c r="H233" s="22"/>
      <c r="I233" s="317"/>
      <c r="J233" s="127"/>
      <c r="K233" s="122"/>
    </row>
    <row r="234" spans="2:11">
      <c r="B234" s="21" t="s">
        <v>216</v>
      </c>
      <c r="C234" s="53" t="s">
        <v>373</v>
      </c>
      <c r="D234" s="15" t="s">
        <v>22</v>
      </c>
      <c r="E234" s="15"/>
      <c r="F234" s="23"/>
      <c r="G234" s="303"/>
      <c r="H234" s="22"/>
      <c r="I234" s="317"/>
      <c r="J234" s="127"/>
      <c r="K234" s="122"/>
    </row>
    <row r="235" spans="2:11">
      <c r="B235" s="21" t="s">
        <v>31</v>
      </c>
      <c r="C235" s="53">
        <v>72</v>
      </c>
      <c r="D235" s="15" t="s">
        <v>55</v>
      </c>
      <c r="E235" s="15"/>
      <c r="G235" s="303"/>
      <c r="H235" s="22"/>
      <c r="I235" s="317"/>
      <c r="J235" s="127"/>
      <c r="K235" s="122"/>
    </row>
    <row r="236" spans="2:11">
      <c r="B236" s="21" t="s">
        <v>12</v>
      </c>
      <c r="C236" s="258">
        <v>97.4</v>
      </c>
      <c r="D236" s="24" t="s">
        <v>13</v>
      </c>
      <c r="E236" s="15"/>
      <c r="G236" s="303"/>
      <c r="H236" s="142"/>
      <c r="I236" s="317"/>
      <c r="J236" s="127"/>
      <c r="K236" s="122"/>
    </row>
    <row r="237" spans="2:11">
      <c r="B237" s="21" t="s">
        <v>175</v>
      </c>
      <c r="C237" s="53">
        <v>597</v>
      </c>
      <c r="D237" s="15" t="s">
        <v>27</v>
      </c>
      <c r="E237" s="15"/>
      <c r="G237" s="303"/>
      <c r="H237" s="22"/>
      <c r="I237" s="317"/>
      <c r="J237" s="127"/>
      <c r="K237" s="122"/>
    </row>
    <row r="238" spans="2:11">
      <c r="B238" s="21" t="s">
        <v>28</v>
      </c>
      <c r="C238" s="53">
        <v>29000000</v>
      </c>
      <c r="D238" s="15" t="s">
        <v>15</v>
      </c>
      <c r="E238" s="15"/>
      <c r="G238" s="303"/>
      <c r="H238" s="22"/>
      <c r="I238" s="317"/>
      <c r="J238" s="127"/>
      <c r="K238" s="122"/>
    </row>
    <row r="239" spans="2:11" ht="13.5" thickBot="1">
      <c r="B239" s="21" t="s">
        <v>14</v>
      </c>
      <c r="C239" s="54">
        <v>22000</v>
      </c>
      <c r="D239" s="15" t="s">
        <v>15</v>
      </c>
      <c r="E239" s="15"/>
      <c r="F239" s="15"/>
      <c r="G239" s="303"/>
      <c r="H239" s="22"/>
      <c r="I239" s="317"/>
      <c r="J239" s="127"/>
      <c r="K239" s="122"/>
    </row>
    <row r="240" spans="2:11">
      <c r="B240" s="21"/>
      <c r="C240" s="32" t="s">
        <v>114</v>
      </c>
      <c r="D240" s="16"/>
      <c r="E240" s="15"/>
      <c r="F240" s="15"/>
      <c r="G240" s="171"/>
      <c r="H240" s="141"/>
      <c r="I240" s="191"/>
      <c r="J240" s="127"/>
      <c r="K240" s="168"/>
    </row>
    <row r="241" spans="2:11">
      <c r="B241" s="21" t="s">
        <v>161</v>
      </c>
      <c r="C241" s="23" t="s">
        <v>162</v>
      </c>
      <c r="D241" s="15"/>
      <c r="E241" s="15"/>
    </row>
    <row r="242" spans="2:11">
      <c r="B242" s="19" t="s">
        <v>6</v>
      </c>
      <c r="C242" s="25">
        <f>12*C232</f>
        <v>216</v>
      </c>
      <c r="D242" s="15" t="s">
        <v>20</v>
      </c>
      <c r="E242" s="16"/>
      <c r="F242" s="16"/>
    </row>
    <row r="243" spans="2:11">
      <c r="B243" s="36" t="s">
        <v>61</v>
      </c>
      <c r="C243" s="23" t="s">
        <v>195</v>
      </c>
      <c r="D243" s="15"/>
      <c r="E243" s="15"/>
      <c r="G243" s="171"/>
      <c r="H243" s="127"/>
      <c r="I243" s="168"/>
      <c r="J243" s="127"/>
      <c r="K243" s="168"/>
    </row>
    <row r="244" spans="2:11">
      <c r="B244" s="21"/>
      <c r="C244" s="25">
        <f>C242-C231</f>
        <v>96</v>
      </c>
      <c r="D244" s="15" t="s">
        <v>20</v>
      </c>
      <c r="E244" s="15"/>
      <c r="F244" s="15"/>
      <c r="G244" s="171"/>
      <c r="H244" s="127"/>
      <c r="I244" s="168"/>
      <c r="J244" s="127"/>
      <c r="K244" s="168"/>
    </row>
    <row r="245" spans="2:11">
      <c r="B245" s="35" t="s">
        <v>317</v>
      </c>
      <c r="G245" s="171"/>
      <c r="H245" s="127"/>
      <c r="I245" s="168"/>
      <c r="J245" s="127"/>
      <c r="K245" s="168"/>
    </row>
    <row r="246" spans="2:11">
      <c r="B246" s="63" t="s">
        <v>223</v>
      </c>
      <c r="C246" s="74">
        <v>0</v>
      </c>
      <c r="G246" s="171"/>
      <c r="H246" s="127"/>
      <c r="I246" s="168"/>
      <c r="J246" s="127"/>
      <c r="K246" s="168"/>
    </row>
    <row r="247" spans="2:11" ht="15.75">
      <c r="B247" s="21" t="s">
        <v>225</v>
      </c>
      <c r="C247" s="67" t="s">
        <v>509</v>
      </c>
      <c r="G247" s="171"/>
      <c r="H247" s="127"/>
      <c r="I247" s="168"/>
      <c r="J247" s="127"/>
      <c r="K247" s="168"/>
    </row>
    <row r="248" spans="2:11">
      <c r="B248" s="63" t="s">
        <v>6</v>
      </c>
      <c r="C248" s="81">
        <f>((C230*C231)/(2*C242^3))*(3*C242^2 - C231^2)</f>
        <v>3737.997256515775</v>
      </c>
      <c r="D248" t="s">
        <v>16</v>
      </c>
      <c r="G248" s="171"/>
      <c r="H248" s="127"/>
      <c r="I248" s="168"/>
      <c r="J248" s="127"/>
      <c r="K248" s="168"/>
    </row>
    <row r="249" spans="2:11" ht="15.75">
      <c r="B249" s="39" t="s">
        <v>350</v>
      </c>
      <c r="C249" s="67" t="s">
        <v>510</v>
      </c>
      <c r="G249" s="171"/>
      <c r="H249" s="127"/>
      <c r="I249" s="168"/>
      <c r="J249" s="127"/>
      <c r="K249" s="168"/>
    </row>
    <row r="250" spans="2:11">
      <c r="B250" s="63" t="s">
        <v>6</v>
      </c>
      <c r="C250" s="76">
        <f>C230 -C248</f>
        <v>1262.002743484225</v>
      </c>
      <c r="G250" s="171"/>
      <c r="H250" s="127"/>
      <c r="I250" s="168"/>
      <c r="J250" s="127"/>
      <c r="K250" s="168"/>
    </row>
    <row r="251" spans="2:11" ht="15.75">
      <c r="B251" s="21" t="s">
        <v>219</v>
      </c>
      <c r="C251" s="55" t="s">
        <v>502</v>
      </c>
      <c r="D251" s="15"/>
      <c r="E251" s="15"/>
      <c r="F251" s="15"/>
      <c r="G251" s="171"/>
      <c r="H251" s="127"/>
      <c r="I251" s="168"/>
      <c r="J251" s="127"/>
      <c r="K251" s="168"/>
    </row>
    <row r="252" spans="2:11">
      <c r="B252" s="19" t="s">
        <v>6</v>
      </c>
      <c r="C252" s="81">
        <f>C250*C231</f>
        <v>151440.32921810698</v>
      </c>
      <c r="D252" s="15" t="s">
        <v>21</v>
      </c>
      <c r="E252" s="15"/>
      <c r="F252" s="15"/>
      <c r="G252" s="171"/>
      <c r="H252" s="127"/>
      <c r="I252" s="168"/>
      <c r="J252" s="127"/>
      <c r="K252" s="168"/>
    </row>
    <row r="253" spans="2:11" ht="15.75">
      <c r="B253" s="21" t="s">
        <v>226</v>
      </c>
      <c r="C253" t="s">
        <v>227</v>
      </c>
      <c r="D253" s="15"/>
      <c r="E253" s="15"/>
      <c r="F253" s="15"/>
      <c r="G253" s="171"/>
      <c r="H253" s="127"/>
      <c r="I253" s="168"/>
      <c r="J253" s="127"/>
      <c r="K253" s="168"/>
    </row>
    <row r="254" spans="2:11">
      <c r="B254" s="21" t="s">
        <v>6</v>
      </c>
      <c r="C254" s="76">
        <f>C250*C242 - C230*C244</f>
        <v>-207407.40740740742</v>
      </c>
      <c r="D254" s="15" t="s">
        <v>21</v>
      </c>
      <c r="E254" s="15"/>
      <c r="F254" s="15"/>
      <c r="G254" s="171"/>
      <c r="H254" s="127"/>
      <c r="I254" s="168"/>
      <c r="J254" s="127"/>
      <c r="K254" s="168"/>
    </row>
    <row r="255" spans="2:11" ht="16.5" thickBot="1">
      <c r="B255" s="21" t="s">
        <v>220</v>
      </c>
      <c r="C255" s="55" t="s">
        <v>228</v>
      </c>
      <c r="D255" s="15"/>
      <c r="E255" s="15"/>
      <c r="F255" s="15"/>
      <c r="G255" s="171"/>
      <c r="H255" s="127"/>
      <c r="I255" s="168"/>
      <c r="J255" s="127"/>
      <c r="K255" s="168"/>
    </row>
    <row r="256" spans="2:11" ht="13.5" thickBot="1">
      <c r="B256" s="21" t="s">
        <v>6</v>
      </c>
      <c r="C256" s="81">
        <f>C250*C233</f>
        <v>100960.219478738</v>
      </c>
      <c r="D256" s="15" t="s">
        <v>21</v>
      </c>
      <c r="E256" s="123" t="str">
        <f>IF($C$233&lt;$C$231,"x &lt; a, OK","x &gt; a Not OK")</f>
        <v>x &lt; a, OK</v>
      </c>
      <c r="F256" s="15"/>
      <c r="G256" s="171"/>
      <c r="H256" s="127"/>
      <c r="I256" s="168"/>
      <c r="J256" s="127"/>
      <c r="K256" s="168"/>
    </row>
    <row r="257" spans="2:11" ht="16.5" thickBot="1">
      <c r="B257" s="21" t="s">
        <v>503</v>
      </c>
      <c r="C257" s="55" t="s">
        <v>229</v>
      </c>
      <c r="D257" s="14"/>
      <c r="E257" s="15"/>
      <c r="F257" s="14"/>
      <c r="G257" s="171"/>
      <c r="H257" s="127"/>
      <c r="I257" s="168"/>
      <c r="J257" s="127"/>
      <c r="K257" s="168"/>
    </row>
    <row r="258" spans="2:11" ht="13.5" thickBot="1">
      <c r="B258" s="15"/>
      <c r="C258" s="81">
        <f>C250*C233 - C230*(C233 - C231)</f>
        <v>300960.21947873803</v>
      </c>
      <c r="D258" s="15" t="s">
        <v>21</v>
      </c>
      <c r="E258" s="123" t="str">
        <f>IF($C$233&lt;$C$231,"x &lt; a, Not OK","x &gt; OK")</f>
        <v>x &lt; a, Not OK</v>
      </c>
      <c r="F258" s="15"/>
      <c r="G258" s="171"/>
      <c r="H258" s="127"/>
      <c r="I258" s="168"/>
      <c r="J258" s="127"/>
      <c r="K258" s="168"/>
    </row>
    <row r="259" spans="2:11">
      <c r="B259" s="21"/>
      <c r="C259" s="23"/>
      <c r="D259" s="15"/>
      <c r="E259" s="124"/>
      <c r="F259" s="15"/>
      <c r="G259" s="171"/>
      <c r="H259" s="127"/>
      <c r="I259" s="168"/>
      <c r="J259" s="127"/>
      <c r="K259" s="168"/>
    </row>
    <row r="260" spans="2:11">
      <c r="B260" s="58"/>
      <c r="C260" s="33"/>
      <c r="D260" s="28"/>
      <c r="E260" s="33"/>
      <c r="F260" s="15"/>
      <c r="G260" s="171"/>
      <c r="H260" s="127"/>
      <c r="I260" s="168"/>
      <c r="J260" s="127"/>
      <c r="K260" s="168"/>
    </row>
    <row r="261" spans="2:11">
      <c r="B261" s="57"/>
      <c r="C261" s="32"/>
      <c r="D261" s="15"/>
      <c r="E261" s="15"/>
      <c r="F261" s="15"/>
      <c r="G261" s="171"/>
      <c r="H261" s="127"/>
      <c r="I261" s="168"/>
      <c r="J261" s="127"/>
      <c r="K261" s="168"/>
    </row>
    <row r="262" spans="2:11">
      <c r="B262" s="35" t="s">
        <v>404</v>
      </c>
      <c r="C262" s="32" t="s">
        <v>23</v>
      </c>
      <c r="D262" s="15"/>
      <c r="E262" s="14"/>
      <c r="F262" s="14"/>
      <c r="G262" s="171"/>
      <c r="H262" s="127"/>
      <c r="I262" s="168"/>
      <c r="J262" s="127"/>
      <c r="K262" s="168"/>
    </row>
    <row r="263" spans="2:11" ht="15.75">
      <c r="B263" s="39" t="s">
        <v>505</v>
      </c>
      <c r="C263" t="s">
        <v>230</v>
      </c>
      <c r="G263" s="171"/>
      <c r="H263" s="127"/>
      <c r="I263" s="168"/>
      <c r="J263" s="127"/>
      <c r="K263" s="168"/>
    </row>
    <row r="264" spans="2:11">
      <c r="C264" s="300">
        <f>0.414*C242</f>
        <v>89.423999999999992</v>
      </c>
      <c r="D264" t="s">
        <v>20</v>
      </c>
      <c r="G264" s="171"/>
      <c r="H264" s="127"/>
      <c r="I264" s="168"/>
      <c r="J264" s="127"/>
      <c r="K264" s="168"/>
    </row>
    <row r="265" spans="2:11" ht="15.75">
      <c r="B265" s="21" t="s">
        <v>500</v>
      </c>
      <c r="C265" s="55" t="s">
        <v>508</v>
      </c>
      <c r="D265" s="83"/>
      <c r="E265" s="14"/>
      <c r="F265" s="14"/>
      <c r="G265" s="171"/>
      <c r="H265" s="127"/>
      <c r="I265" s="168"/>
      <c r="J265" s="127"/>
      <c r="K265" s="168"/>
    </row>
    <row r="266" spans="2:11">
      <c r="B266" s="21" t="s">
        <v>6</v>
      </c>
      <c r="C266" s="96">
        <f>((C230*C231^2*C244^3)/(12*C238*C237*C242^3))*(3*C242 + C231)</f>
        <v>2.3366441972884146E-2</v>
      </c>
      <c r="D266" s="55" t="s">
        <v>20</v>
      </c>
      <c r="E266" s="14"/>
      <c r="F266" s="14"/>
      <c r="G266" s="171"/>
      <c r="H266" s="127"/>
      <c r="I266" s="168"/>
      <c r="J266" s="127"/>
      <c r="K266" s="168"/>
    </row>
    <row r="267" spans="2:11">
      <c r="G267" s="171"/>
      <c r="H267" s="127"/>
      <c r="I267" s="168"/>
      <c r="J267" s="127"/>
      <c r="K267" s="168"/>
    </row>
    <row r="268" spans="2:11" ht="13.5" thickBot="1">
      <c r="B268" s="21" t="s">
        <v>241</v>
      </c>
      <c r="C268" s="31" t="s">
        <v>511</v>
      </c>
      <c r="D268" s="122"/>
      <c r="E268" s="14"/>
      <c r="F268" s="14"/>
      <c r="G268" s="171"/>
      <c r="H268" s="127"/>
      <c r="I268" s="168"/>
      <c r="J268" s="127"/>
      <c r="K268" s="168"/>
    </row>
    <row r="269" spans="2:11" ht="13.5" thickBot="1">
      <c r="B269" s="21" t="s">
        <v>6</v>
      </c>
      <c r="C269" s="96">
        <f>((C230*C231^2*C233^3)/(12*C238*C237*C242^3))*(3*C242 + C231)</f>
        <v>1.3522246512085733E-2</v>
      </c>
      <c r="D269" s="23" t="s">
        <v>20</v>
      </c>
      <c r="E269" s="123" t="str">
        <f>IF($C$233&lt;$C$231,"x &lt; a, OK","x &gt; a Not OK")</f>
        <v>x &lt; a, OK</v>
      </c>
      <c r="F269" s="14"/>
      <c r="G269" s="171"/>
      <c r="H269" s="127"/>
      <c r="I269" s="168"/>
      <c r="J269" s="127"/>
      <c r="K269" s="168"/>
    </row>
    <row r="270" spans="2:11" ht="13.5" thickBot="1">
      <c r="B270" s="21" t="s">
        <v>501</v>
      </c>
      <c r="C270" s="55" t="s">
        <v>221</v>
      </c>
      <c r="D270" s="55"/>
      <c r="E270" s="14"/>
      <c r="F270" s="14"/>
      <c r="G270" s="171"/>
      <c r="H270" s="127"/>
      <c r="I270" s="168"/>
      <c r="J270" s="127"/>
      <c r="K270" s="168"/>
    </row>
    <row r="271" spans="2:11" ht="13.5" thickBot="1">
      <c r="B271" s="21" t="s">
        <v>6</v>
      </c>
      <c r="C271" s="96">
        <f>((C230*C231/(12*C238*C237*C242^3))*(C242-C233)^2*(3*C242^2*C233-C231^2*C233-2*C231^2*C242))</f>
        <v>2.0272382942837525E-2</v>
      </c>
      <c r="D271" s="55" t="s">
        <v>20</v>
      </c>
      <c r="E271" s="123" t="str">
        <f>IF($C$233&lt;$C$231,"x &lt; a, Not OK","x &gt; OK")</f>
        <v>x &lt; a, Not OK</v>
      </c>
      <c r="F271" s="14"/>
      <c r="G271" s="171"/>
      <c r="H271" s="127"/>
      <c r="I271" s="168"/>
      <c r="J271" s="127"/>
      <c r="K271" s="168"/>
    </row>
    <row r="272" spans="2:11">
      <c r="D272" s="55"/>
      <c r="E272" s="14"/>
      <c r="F272" s="15"/>
      <c r="G272" s="171"/>
      <c r="H272" s="127"/>
      <c r="I272" s="168"/>
      <c r="J272" s="127"/>
      <c r="K272" s="168"/>
    </row>
    <row r="273" spans="2:11">
      <c r="B273" s="58"/>
      <c r="C273" s="33"/>
      <c r="D273" s="28"/>
      <c r="E273" s="33"/>
      <c r="F273" s="15"/>
      <c r="G273" s="171"/>
      <c r="H273" s="127"/>
      <c r="I273" s="168"/>
      <c r="J273" s="127"/>
      <c r="K273" s="168"/>
    </row>
    <row r="274" spans="2:11">
      <c r="G274" s="171"/>
      <c r="H274" s="127"/>
      <c r="I274" s="168"/>
      <c r="J274" s="127"/>
      <c r="K274" s="168"/>
    </row>
    <row r="275" spans="2:11" ht="15.75">
      <c r="B275" s="103" t="s">
        <v>231</v>
      </c>
      <c r="G275" s="171"/>
      <c r="H275" s="127"/>
      <c r="I275" s="168"/>
      <c r="J275" s="127"/>
      <c r="K275" s="168"/>
    </row>
    <row r="276" spans="2:11">
      <c r="B276" s="35" t="s">
        <v>74</v>
      </c>
      <c r="G276" s="171"/>
      <c r="H276" s="127"/>
      <c r="I276" s="168"/>
      <c r="J276" s="127"/>
      <c r="K276" s="168"/>
    </row>
    <row r="277" spans="2:11">
      <c r="G277" s="171"/>
      <c r="H277" s="127"/>
      <c r="I277" s="168"/>
      <c r="J277" s="127"/>
      <c r="K277" s="168"/>
    </row>
    <row r="278" spans="2:11">
      <c r="G278" s="171"/>
      <c r="H278" s="127"/>
      <c r="I278" s="168"/>
      <c r="J278" s="127"/>
      <c r="K278" s="168"/>
    </row>
    <row r="279" spans="2:11">
      <c r="G279" s="171"/>
      <c r="H279" s="127"/>
      <c r="I279" s="168"/>
      <c r="J279" s="127"/>
      <c r="K279" s="168"/>
    </row>
    <row r="280" spans="2:11">
      <c r="G280" s="171"/>
      <c r="H280" s="128"/>
      <c r="I280" s="168"/>
      <c r="J280" s="127"/>
      <c r="K280" s="168"/>
    </row>
    <row r="281" spans="2:11">
      <c r="G281" s="171"/>
      <c r="H281" s="128"/>
      <c r="I281" s="168"/>
      <c r="J281" s="127"/>
      <c r="K281" s="168"/>
    </row>
    <row r="282" spans="2:11">
      <c r="G282" s="171"/>
      <c r="H282" s="127"/>
      <c r="I282" s="168"/>
      <c r="J282" s="127"/>
      <c r="K282" s="168"/>
    </row>
    <row r="283" spans="2:11">
      <c r="G283" s="304"/>
      <c r="H283" s="127"/>
      <c r="I283" s="168"/>
      <c r="J283" s="127"/>
      <c r="K283" s="168"/>
    </row>
    <row r="284" spans="2:11">
      <c r="G284" s="304"/>
      <c r="H284" s="127"/>
      <c r="I284" s="168"/>
      <c r="J284" s="127"/>
      <c r="K284" s="168"/>
    </row>
    <row r="285" spans="2:11">
      <c r="G285" s="171"/>
      <c r="H285" s="127"/>
      <c r="I285" s="168"/>
      <c r="J285" s="127"/>
      <c r="K285" s="168"/>
    </row>
    <row r="286" spans="2:11">
      <c r="G286" s="171"/>
      <c r="H286" s="127"/>
      <c r="I286" s="168"/>
      <c r="J286" s="127"/>
      <c r="K286" s="168"/>
    </row>
    <row r="287" spans="2:11">
      <c r="G287" s="171"/>
      <c r="H287" s="127"/>
      <c r="I287" s="168"/>
      <c r="J287" s="127"/>
      <c r="K287" s="168"/>
    </row>
    <row r="288" spans="2:11">
      <c r="G288" s="171"/>
      <c r="H288" s="127"/>
      <c r="I288" s="168"/>
      <c r="J288" s="127"/>
      <c r="K288" s="168"/>
    </row>
    <row r="289" spans="2:11">
      <c r="G289" s="171"/>
      <c r="H289" s="127"/>
      <c r="I289" s="168"/>
      <c r="J289" s="127"/>
      <c r="K289" s="168"/>
    </row>
    <row r="290" spans="2:11">
      <c r="G290" s="171"/>
      <c r="H290" s="127"/>
      <c r="I290" s="168"/>
      <c r="J290" s="127"/>
      <c r="K290" s="168"/>
    </row>
    <row r="291" spans="2:11">
      <c r="G291" s="171"/>
      <c r="H291" s="127"/>
      <c r="I291" s="168"/>
      <c r="J291" s="127"/>
      <c r="K291" s="168"/>
    </row>
    <row r="292" spans="2:11">
      <c r="G292" s="171"/>
      <c r="H292" s="127"/>
      <c r="I292" s="168"/>
      <c r="J292" s="127"/>
      <c r="K292" s="168"/>
    </row>
    <row r="293" spans="2:11">
      <c r="G293" s="171"/>
      <c r="H293" s="127"/>
      <c r="I293" s="168"/>
      <c r="J293" s="127"/>
      <c r="K293" s="168"/>
    </row>
    <row r="294" spans="2:11">
      <c r="G294" s="171"/>
      <c r="H294" s="127"/>
      <c r="I294" s="168"/>
      <c r="J294" s="127"/>
      <c r="K294" s="168"/>
    </row>
    <row r="295" spans="2:11">
      <c r="G295" s="171"/>
      <c r="H295" s="127"/>
      <c r="I295" s="168"/>
      <c r="J295" s="127"/>
      <c r="K295" s="168"/>
    </row>
    <row r="296" spans="2:11">
      <c r="G296" s="171"/>
      <c r="H296" s="127"/>
      <c r="I296" s="168"/>
      <c r="J296" s="127"/>
      <c r="K296" s="168"/>
    </row>
    <row r="297" spans="2:11">
      <c r="G297" s="171"/>
      <c r="H297" s="127"/>
      <c r="I297" s="168"/>
      <c r="J297" s="127"/>
      <c r="K297" s="168"/>
    </row>
    <row r="298" spans="2:11">
      <c r="G298" s="171"/>
      <c r="H298" s="127"/>
      <c r="I298" s="168"/>
      <c r="J298" s="127"/>
      <c r="K298" s="168"/>
    </row>
    <row r="299" spans="2:11">
      <c r="G299" s="171"/>
      <c r="H299" s="127"/>
      <c r="I299" s="168"/>
      <c r="J299" s="127"/>
      <c r="K299" s="168"/>
    </row>
    <row r="300" spans="2:11">
      <c r="G300" s="171"/>
      <c r="H300" s="127"/>
      <c r="I300" s="168"/>
      <c r="J300" s="127"/>
      <c r="K300" s="168"/>
    </row>
    <row r="301" spans="2:11">
      <c r="G301" s="171"/>
      <c r="H301" s="127"/>
      <c r="I301" s="168"/>
      <c r="J301" s="127"/>
      <c r="K301" s="168"/>
    </row>
    <row r="302" spans="2:11">
      <c r="B302" s="35" t="s">
        <v>318</v>
      </c>
      <c r="C302" s="32" t="s">
        <v>23</v>
      </c>
      <c r="D302" s="16"/>
      <c r="E302" s="15"/>
      <c r="F302" s="15"/>
      <c r="G302" s="171"/>
      <c r="H302" s="127"/>
      <c r="I302" s="168"/>
      <c r="J302" s="127"/>
      <c r="K302" s="168"/>
    </row>
    <row r="303" spans="2:11">
      <c r="B303" s="63" t="s">
        <v>297</v>
      </c>
      <c r="C303" t="s">
        <v>222</v>
      </c>
      <c r="E303" t="s">
        <v>347</v>
      </c>
      <c r="G303" s="171"/>
      <c r="H303" s="127"/>
      <c r="I303" s="168"/>
      <c r="J303" s="127"/>
      <c r="K303" s="168"/>
    </row>
    <row r="304" spans="2:11">
      <c r="B304" s="63" t="s">
        <v>6</v>
      </c>
      <c r="C304" s="74">
        <f>C235*C232</f>
        <v>1296</v>
      </c>
      <c r="D304" t="s">
        <v>16</v>
      </c>
      <c r="G304" s="171"/>
      <c r="H304" s="127"/>
      <c r="I304" s="168"/>
      <c r="J304" s="127"/>
      <c r="K304" s="168"/>
    </row>
    <row r="305" spans="2:11" ht="15.75">
      <c r="B305" s="21" t="s">
        <v>350</v>
      </c>
      <c r="C305" s="23" t="s">
        <v>346</v>
      </c>
      <c r="D305" s="15"/>
      <c r="E305" s="15" t="s">
        <v>348</v>
      </c>
      <c r="F305" s="15"/>
      <c r="G305" s="171"/>
      <c r="H305" s="127"/>
      <c r="I305" s="168"/>
      <c r="J305" s="127"/>
      <c r="K305" s="168"/>
    </row>
    <row r="306" spans="2:11">
      <c r="B306" s="19" t="s">
        <v>6</v>
      </c>
      <c r="C306" s="23">
        <f>3*(C235/12)*C242 / 8</f>
        <v>486</v>
      </c>
      <c r="D306" s="15"/>
      <c r="E306" s="15"/>
      <c r="F306" s="15"/>
      <c r="G306" s="171"/>
      <c r="H306" s="127"/>
      <c r="I306" s="168"/>
      <c r="J306" s="127"/>
      <c r="K306" s="168"/>
    </row>
    <row r="307" spans="2:11" ht="15.75">
      <c r="B307" s="21" t="s">
        <v>225</v>
      </c>
      <c r="C307" s="37" t="s">
        <v>349</v>
      </c>
      <c r="D307" s="15"/>
      <c r="E307" s="15"/>
      <c r="F307" s="15"/>
      <c r="G307" s="171"/>
      <c r="H307" s="127"/>
      <c r="I307" s="168"/>
      <c r="J307" s="127"/>
      <c r="K307" s="168"/>
    </row>
    <row r="308" spans="2:11">
      <c r="B308" s="21" t="s">
        <v>6</v>
      </c>
      <c r="C308" s="23">
        <f>-5*(C235/12)*C242 / 8</f>
        <v>-810</v>
      </c>
      <c r="D308" s="15"/>
      <c r="E308" s="15"/>
      <c r="F308" s="15"/>
      <c r="G308" s="171"/>
      <c r="H308" s="127"/>
      <c r="I308" s="168"/>
      <c r="J308" s="127"/>
      <c r="K308" s="168"/>
    </row>
    <row r="309" spans="2:11">
      <c r="B309" s="21" t="s">
        <v>219</v>
      </c>
      <c r="C309" s="314" t="s">
        <v>512</v>
      </c>
      <c r="E309" s="15"/>
      <c r="F309" s="15"/>
      <c r="G309" s="171"/>
      <c r="H309" s="127"/>
      <c r="I309" s="168"/>
      <c r="J309" s="127"/>
      <c r="K309" s="168"/>
    </row>
    <row r="310" spans="2:11">
      <c r="C310" s="169">
        <f>(-C235/12)*(3*C231*C242 - 4*C231^2)</f>
        <v>-120960</v>
      </c>
      <c r="D310" s="23" t="s">
        <v>21</v>
      </c>
      <c r="E310" s="15"/>
      <c r="G310" s="171"/>
      <c r="H310" s="127"/>
      <c r="I310" s="168"/>
      <c r="J310" s="127"/>
      <c r="K310" s="168"/>
    </row>
    <row r="311" spans="2:11">
      <c r="B311" s="21" t="s">
        <v>359</v>
      </c>
      <c r="C311" s="55" t="s">
        <v>360</v>
      </c>
      <c r="D311" s="15"/>
      <c r="E311" s="15"/>
      <c r="F311" s="15"/>
      <c r="G311" s="171"/>
      <c r="H311" s="127"/>
      <c r="I311" s="168"/>
      <c r="J311" s="127"/>
      <c r="K311" s="168"/>
    </row>
    <row r="312" spans="2:11">
      <c r="B312" s="21" t="s">
        <v>6</v>
      </c>
      <c r="C312" s="81">
        <f>(9/128)*((C235/12)*C242^2)</f>
        <v>19683</v>
      </c>
      <c r="D312" s="23" t="s">
        <v>21</v>
      </c>
      <c r="E312" s="15"/>
      <c r="G312" s="171"/>
      <c r="H312" s="127"/>
      <c r="I312" s="168"/>
      <c r="J312" s="127"/>
      <c r="K312" s="168"/>
    </row>
    <row r="313" spans="2:11" ht="15.75">
      <c r="B313" s="21" t="s">
        <v>352</v>
      </c>
      <c r="C313" t="s">
        <v>351</v>
      </c>
      <c r="E313" s="15"/>
      <c r="F313" s="15"/>
      <c r="G313" s="171"/>
      <c r="H313" s="127"/>
      <c r="I313" s="168"/>
      <c r="J313" s="127"/>
      <c r="K313" s="168"/>
    </row>
    <row r="314" spans="2:11">
      <c r="B314" s="19" t="s">
        <v>6</v>
      </c>
      <c r="C314" s="76">
        <f>C306*C233 - ((C235/12)*C233^2 / 2)</f>
        <v>19680</v>
      </c>
      <c r="D314" s="23" t="s">
        <v>21</v>
      </c>
      <c r="E314" s="15"/>
      <c r="F314" s="15"/>
      <c r="G314" s="171"/>
      <c r="H314" s="127"/>
      <c r="I314" s="168"/>
      <c r="J314" s="127"/>
      <c r="K314" s="168"/>
    </row>
    <row r="315" spans="2:11" ht="15.75">
      <c r="B315" s="21" t="s">
        <v>353</v>
      </c>
      <c r="C315" s="75" t="s">
        <v>513</v>
      </c>
      <c r="E315" s="15"/>
      <c r="F315" s="14"/>
      <c r="G315" s="171"/>
      <c r="I315" s="168"/>
      <c r="J315" s="127"/>
      <c r="K315" s="168"/>
    </row>
    <row r="316" spans="2:11">
      <c r="B316" s="19" t="s">
        <v>6</v>
      </c>
      <c r="C316" s="74">
        <f>-(C235/12)*C242^2 / 8</f>
        <v>-34992</v>
      </c>
      <c r="D316" t="s">
        <v>21</v>
      </c>
      <c r="H316" s="127"/>
      <c r="I316" s="168"/>
      <c r="J316" s="127"/>
      <c r="K316" s="168"/>
    </row>
    <row r="317" spans="2:11">
      <c r="G317" s="171"/>
      <c r="H317" s="127"/>
      <c r="I317" s="168"/>
      <c r="J317" s="127"/>
      <c r="K317" s="168"/>
    </row>
    <row r="318" spans="2:11">
      <c r="B318" s="58"/>
      <c r="C318" s="33"/>
      <c r="D318" s="28"/>
      <c r="E318" s="33"/>
      <c r="F318" s="15"/>
      <c r="G318" s="171"/>
      <c r="I318" s="168"/>
      <c r="J318" s="127"/>
      <c r="K318" s="168"/>
    </row>
    <row r="319" spans="2:11">
      <c r="B319" s="57"/>
      <c r="C319" s="32"/>
      <c r="D319" s="15"/>
      <c r="E319" s="15"/>
      <c r="F319" s="15"/>
      <c r="G319" s="171"/>
      <c r="I319" s="168"/>
      <c r="J319" s="127"/>
      <c r="K319" s="168"/>
    </row>
    <row r="320" spans="2:11">
      <c r="B320" s="35" t="s">
        <v>405</v>
      </c>
      <c r="C320" s="32" t="s">
        <v>173</v>
      </c>
      <c r="D320" s="15"/>
      <c r="E320" s="14"/>
      <c r="F320" s="14"/>
      <c r="G320" s="171"/>
      <c r="H320" s="127"/>
      <c r="I320" s="168"/>
      <c r="J320" s="127"/>
      <c r="K320" s="168"/>
    </row>
    <row r="321" spans="2:11" ht="15.75">
      <c r="B321" s="21" t="s">
        <v>357</v>
      </c>
      <c r="C321" s="190" t="s">
        <v>358</v>
      </c>
      <c r="F321" s="14"/>
      <c r="G321" s="171"/>
      <c r="H321" s="127"/>
      <c r="I321" s="168"/>
      <c r="J321" s="127"/>
      <c r="K321" s="168"/>
    </row>
    <row r="322" spans="2:11">
      <c r="B322" s="63" t="s">
        <v>6</v>
      </c>
      <c r="C322" s="121">
        <f>0.4215*C242</f>
        <v>91.043999999999997</v>
      </c>
      <c r="D322" s="55" t="s">
        <v>20</v>
      </c>
      <c r="G322" s="171"/>
      <c r="H322" s="127"/>
      <c r="I322" s="168"/>
      <c r="J322" s="127"/>
      <c r="K322" s="168"/>
    </row>
    <row r="323" spans="2:11" ht="15.75">
      <c r="B323" s="21" t="s">
        <v>356</v>
      </c>
      <c r="C323" s="55" t="s">
        <v>354</v>
      </c>
      <c r="D323" s="83"/>
      <c r="E323" s="14"/>
      <c r="F323" s="14"/>
      <c r="G323" s="171"/>
      <c r="H323" s="127"/>
      <c r="I323" s="168"/>
      <c r="J323" s="127"/>
      <c r="K323" s="168"/>
    </row>
    <row r="324" spans="2:11">
      <c r="B324" s="21" t="s">
        <v>6</v>
      </c>
      <c r="C324" s="82">
        <f>((C235/12)*C242^4)/(185*C238*C237)</f>
        <v>4.0777650339301353E-3</v>
      </c>
      <c r="D324" s="55" t="s">
        <v>20</v>
      </c>
      <c r="E324" s="14"/>
      <c r="F324" s="14"/>
      <c r="G324" s="171"/>
      <c r="H324" s="127"/>
      <c r="I324" s="168"/>
      <c r="J324" s="127"/>
      <c r="K324" s="168"/>
    </row>
    <row r="325" spans="2:11">
      <c r="B325" s="21" t="s">
        <v>181</v>
      </c>
      <c r="C325" s="23" t="s">
        <v>355</v>
      </c>
      <c r="D325" s="55"/>
      <c r="E325" s="14"/>
      <c r="F325" s="14"/>
      <c r="G325" s="171"/>
      <c r="H325" s="127"/>
      <c r="I325" s="168"/>
      <c r="J325" s="127"/>
      <c r="K325" s="168"/>
    </row>
    <row r="326" spans="2:11">
      <c r="B326" s="21" t="s">
        <v>6</v>
      </c>
      <c r="C326" s="189">
        <f>((C235/12)*C233 / (48*C238*C237))*(C242^3 - 3*C242*C233^2 + 2*C233^3)</f>
        <v>4.0169213885519551E-3</v>
      </c>
      <c r="D326" s="55" t="s">
        <v>20</v>
      </c>
      <c r="F326" s="14"/>
      <c r="G326" s="171"/>
      <c r="H326" s="127"/>
      <c r="I326" s="168"/>
      <c r="J326" s="127"/>
      <c r="K326" s="168"/>
    </row>
    <row r="327" spans="2:11">
      <c r="B327" s="21"/>
      <c r="C327" s="13"/>
      <c r="D327" s="14"/>
      <c r="E327" s="15"/>
      <c r="F327" s="15"/>
      <c r="G327" s="171"/>
      <c r="H327" s="127"/>
      <c r="I327" s="168"/>
      <c r="J327" s="127"/>
      <c r="K327" s="168"/>
    </row>
    <row r="328" spans="2:11">
      <c r="B328" s="58"/>
      <c r="C328" s="33"/>
      <c r="D328" s="28"/>
      <c r="E328" s="33"/>
      <c r="F328" s="15"/>
      <c r="G328" s="171"/>
      <c r="H328" s="127"/>
      <c r="I328" s="168"/>
      <c r="J328" s="127"/>
      <c r="K328" s="168"/>
    </row>
    <row r="329" spans="2:11">
      <c r="G329" s="171"/>
      <c r="H329" s="127"/>
      <c r="I329" s="168"/>
      <c r="J329" s="127"/>
      <c r="K329" s="168"/>
    </row>
    <row r="330" spans="2:11" ht="15.75">
      <c r="B330" s="103" t="s">
        <v>218</v>
      </c>
      <c r="G330" s="171"/>
      <c r="H330" s="127"/>
      <c r="I330" s="168"/>
      <c r="J330" s="127"/>
      <c r="K330" s="168"/>
    </row>
    <row r="331" spans="2:11">
      <c r="B331" s="35" t="s">
        <v>74</v>
      </c>
      <c r="G331" s="171"/>
      <c r="H331" s="127"/>
      <c r="I331" s="168"/>
      <c r="J331" s="127"/>
      <c r="K331" s="168"/>
    </row>
    <row r="332" spans="2:11">
      <c r="G332" s="171"/>
      <c r="H332" s="127"/>
      <c r="I332" s="168"/>
      <c r="J332" s="127"/>
      <c r="K332" s="168"/>
    </row>
    <row r="333" spans="2:11">
      <c r="G333" s="171"/>
      <c r="H333" s="127"/>
      <c r="I333" s="168"/>
      <c r="J333" s="127"/>
      <c r="K333" s="168"/>
    </row>
    <row r="334" spans="2:11">
      <c r="G334" s="171"/>
      <c r="H334" s="127"/>
      <c r="I334" s="168"/>
      <c r="J334" s="127"/>
      <c r="K334" s="168"/>
    </row>
    <row r="335" spans="2:11">
      <c r="G335" s="171"/>
      <c r="H335" s="127"/>
      <c r="I335" s="168"/>
      <c r="J335" s="127"/>
      <c r="K335" s="168"/>
    </row>
    <row r="336" spans="2:11">
      <c r="G336" s="171"/>
      <c r="H336" s="127"/>
      <c r="I336" s="168"/>
      <c r="J336" s="127"/>
      <c r="K336" s="168"/>
    </row>
    <row r="337" spans="7:11">
      <c r="G337" s="171"/>
      <c r="H337" s="127"/>
      <c r="I337" s="168"/>
      <c r="J337" s="127"/>
      <c r="K337" s="168"/>
    </row>
    <row r="338" spans="7:11">
      <c r="G338" s="171"/>
      <c r="H338" s="127"/>
      <c r="I338" s="168"/>
      <c r="J338" s="127"/>
      <c r="K338" s="168"/>
    </row>
    <row r="339" spans="7:11">
      <c r="G339" s="171"/>
      <c r="H339" s="127"/>
      <c r="I339" s="168"/>
      <c r="J339" s="127"/>
      <c r="K339" s="168"/>
    </row>
    <row r="340" spans="7:11">
      <c r="G340" s="171"/>
      <c r="H340" s="127"/>
      <c r="I340" s="168"/>
      <c r="J340" s="127"/>
      <c r="K340" s="168"/>
    </row>
    <row r="341" spans="7:11">
      <c r="G341" s="304"/>
      <c r="H341" s="65"/>
      <c r="I341" s="168"/>
      <c r="J341" s="127"/>
      <c r="K341" s="168"/>
    </row>
    <row r="342" spans="7:11">
      <c r="G342" s="305"/>
      <c r="H342" s="65"/>
      <c r="I342" s="168"/>
      <c r="J342" s="127"/>
      <c r="K342" s="168"/>
    </row>
    <row r="343" spans="7:11">
      <c r="G343" s="171"/>
      <c r="H343" s="127"/>
      <c r="I343" s="168"/>
      <c r="J343" s="127"/>
      <c r="K343" s="168"/>
    </row>
    <row r="344" spans="7:11">
      <c r="G344" s="171"/>
      <c r="H344" s="127"/>
      <c r="I344" s="168"/>
      <c r="J344" s="127"/>
      <c r="K344" s="168"/>
    </row>
    <row r="345" spans="7:11">
      <c r="G345" s="171"/>
      <c r="H345" s="127"/>
      <c r="I345" s="168"/>
      <c r="J345" s="127"/>
      <c r="K345" s="168"/>
    </row>
    <row r="346" spans="7:11">
      <c r="G346" s="171"/>
      <c r="H346" s="127"/>
      <c r="I346" s="168"/>
      <c r="J346" s="127"/>
      <c r="K346" s="168"/>
    </row>
    <row r="347" spans="7:11">
      <c r="G347" s="171"/>
      <c r="H347" s="127"/>
      <c r="I347" s="168"/>
      <c r="J347" s="127"/>
      <c r="K347" s="168"/>
    </row>
    <row r="348" spans="7:11">
      <c r="G348" s="171"/>
      <c r="H348" s="127"/>
      <c r="I348" s="168"/>
      <c r="J348" s="127"/>
      <c r="K348" s="168"/>
    </row>
    <row r="349" spans="7:11">
      <c r="G349" s="171"/>
      <c r="H349" s="127"/>
      <c r="I349" s="168"/>
      <c r="J349" s="127"/>
      <c r="K349" s="168"/>
    </row>
    <row r="350" spans="7:11">
      <c r="G350" s="171"/>
      <c r="H350" s="127"/>
      <c r="I350" s="168"/>
      <c r="J350" s="127"/>
      <c r="K350" s="168"/>
    </row>
    <row r="351" spans="7:11">
      <c r="G351" s="171"/>
      <c r="H351" s="127"/>
      <c r="I351" s="168"/>
      <c r="J351" s="127"/>
      <c r="K351" s="168"/>
    </row>
    <row r="352" spans="7:11">
      <c r="G352" s="171"/>
      <c r="H352" s="127"/>
      <c r="I352" s="168"/>
      <c r="J352" s="127"/>
      <c r="K352" s="168"/>
    </row>
    <row r="353" spans="2:11">
      <c r="G353" s="171"/>
      <c r="H353" s="127"/>
      <c r="I353" s="168"/>
      <c r="J353" s="127"/>
      <c r="K353" s="168"/>
    </row>
    <row r="354" spans="2:11">
      <c r="G354" s="171"/>
      <c r="H354" s="127"/>
      <c r="I354" s="168"/>
      <c r="J354" s="127"/>
      <c r="K354" s="168"/>
    </row>
    <row r="355" spans="2:11">
      <c r="G355" s="171"/>
      <c r="H355" s="127"/>
      <c r="I355" s="168"/>
      <c r="J355" s="127"/>
      <c r="K355" s="168"/>
    </row>
    <row r="356" spans="2:11">
      <c r="G356" s="171"/>
      <c r="H356" s="127"/>
      <c r="I356" s="168"/>
      <c r="J356" s="127"/>
      <c r="K356" s="168"/>
    </row>
    <row r="357" spans="2:11">
      <c r="G357" s="171"/>
      <c r="H357" s="127"/>
      <c r="I357" s="168"/>
      <c r="J357" s="127"/>
      <c r="K357" s="168"/>
    </row>
    <row r="358" spans="2:11">
      <c r="G358" s="171"/>
      <c r="H358" s="127"/>
      <c r="I358" s="168"/>
      <c r="J358" s="127"/>
      <c r="K358" s="168"/>
    </row>
    <row r="359" spans="2:11">
      <c r="G359" s="171"/>
      <c r="H359" s="167"/>
      <c r="I359" s="168"/>
      <c r="J359" s="127"/>
      <c r="K359" s="168"/>
    </row>
    <row r="360" spans="2:11">
      <c r="G360" s="171"/>
      <c r="H360" s="127"/>
      <c r="I360" s="168"/>
      <c r="J360" s="127"/>
      <c r="K360" s="168"/>
    </row>
    <row r="361" spans="2:11">
      <c r="G361" s="171"/>
      <c r="H361" s="127"/>
      <c r="I361" s="168"/>
      <c r="J361" s="127"/>
      <c r="K361" s="168"/>
    </row>
    <row r="362" spans="2:11">
      <c r="G362" s="171"/>
      <c r="H362" s="301"/>
      <c r="I362" s="168"/>
      <c r="J362" s="127"/>
      <c r="K362" s="168"/>
    </row>
    <row r="363" spans="2:11">
      <c r="C363" s="171"/>
      <c r="G363" s="171"/>
      <c r="I363" s="168"/>
      <c r="J363" s="127"/>
      <c r="K363" s="168"/>
    </row>
    <row r="364" spans="2:11" ht="15.75">
      <c r="B364" s="120" t="s">
        <v>217</v>
      </c>
      <c r="C364" s="32" t="s">
        <v>23</v>
      </c>
      <c r="D364" s="16"/>
      <c r="E364" s="15"/>
      <c r="F364" s="15"/>
      <c r="G364" s="21"/>
      <c r="I364" s="168"/>
      <c r="J364" s="127"/>
      <c r="K364" s="168"/>
    </row>
    <row r="365" spans="2:11" ht="15.75">
      <c r="B365" s="21" t="s">
        <v>224</v>
      </c>
      <c r="C365" s="23" t="s">
        <v>51</v>
      </c>
      <c r="D365" s="15"/>
      <c r="E365" s="15"/>
      <c r="F365" s="15"/>
      <c r="G365" s="171"/>
      <c r="H365" s="127"/>
      <c r="I365" s="168"/>
      <c r="J365" s="127"/>
      <c r="K365" s="168"/>
    </row>
    <row r="366" spans="2:11">
      <c r="B366" s="19" t="s">
        <v>6</v>
      </c>
      <c r="C366" s="25">
        <f>C250+C306</f>
        <v>1748.002743484225</v>
      </c>
      <c r="D366" s="15" t="s">
        <v>16</v>
      </c>
      <c r="E366" s="15"/>
      <c r="F366" s="15"/>
      <c r="G366" s="171"/>
      <c r="H366" s="127"/>
      <c r="I366" s="168"/>
      <c r="J366" s="127"/>
      <c r="K366" s="168"/>
    </row>
    <row r="367" spans="2:11" ht="15.75">
      <c r="B367" s="21" t="s">
        <v>225</v>
      </c>
      <c r="C367" s="31" t="s">
        <v>514</v>
      </c>
      <c r="D367" s="15"/>
      <c r="E367" s="15"/>
      <c r="F367" s="15"/>
      <c r="G367" s="171"/>
      <c r="H367" s="127"/>
      <c r="I367" s="168"/>
      <c r="J367" s="127"/>
      <c r="K367" s="168"/>
    </row>
    <row r="368" spans="2:11">
      <c r="B368" s="21" t="s">
        <v>6</v>
      </c>
      <c r="C368" s="25">
        <f>C230+C304 -C366</f>
        <v>4547.997256515775</v>
      </c>
      <c r="D368" s="15" t="s">
        <v>235</v>
      </c>
      <c r="E368" s="15"/>
      <c r="F368" s="15"/>
      <c r="G368" s="171"/>
      <c r="H368" s="127"/>
      <c r="I368" s="168"/>
      <c r="J368" s="127"/>
      <c r="K368" s="168"/>
    </row>
    <row r="369" spans="2:11">
      <c r="B369" s="35" t="s">
        <v>59</v>
      </c>
      <c r="C369" s="23"/>
      <c r="D369" s="15"/>
      <c r="E369" s="15"/>
      <c r="F369" s="15"/>
      <c r="G369" s="171"/>
      <c r="H369" s="127"/>
      <c r="I369" s="168"/>
      <c r="J369" s="127"/>
      <c r="K369" s="168"/>
    </row>
    <row r="370" spans="2:11" ht="16.5" thickBot="1">
      <c r="B370" s="21" t="s">
        <v>236</v>
      </c>
      <c r="C370" s="23" t="s">
        <v>238</v>
      </c>
      <c r="D370" s="15"/>
      <c r="E370" s="15"/>
      <c r="F370" s="15"/>
      <c r="G370" s="171"/>
      <c r="H370" s="127"/>
      <c r="I370" s="168"/>
      <c r="J370" s="127"/>
      <c r="K370" s="168"/>
    </row>
    <row r="371" spans="2:11" ht="13.5" thickBot="1">
      <c r="B371" s="21" t="s">
        <v>6</v>
      </c>
      <c r="C371" s="25">
        <f>(C366 * C233) - ((C235/12) * C233^2 / 2)</f>
        <v>120640.219478738</v>
      </c>
      <c r="D371" s="24" t="s">
        <v>21</v>
      </c>
      <c r="E371" s="123" t="str">
        <f>IF($C$233&lt;$C$231,"x &lt; a, OK","x &gt; a Not OK")</f>
        <v>x &lt; a, OK</v>
      </c>
      <c r="F371" s="15"/>
      <c r="G371" s="171"/>
      <c r="H371" s="127"/>
      <c r="I371" s="168"/>
      <c r="J371" s="127"/>
      <c r="K371" s="168"/>
    </row>
    <row r="372" spans="2:11" ht="16.5" thickBot="1">
      <c r="B372" s="21" t="s">
        <v>237</v>
      </c>
      <c r="C372" s="23" t="s">
        <v>239</v>
      </c>
      <c r="D372" s="15"/>
      <c r="F372" s="15"/>
      <c r="G372" s="171"/>
      <c r="H372" s="127"/>
      <c r="I372" s="168"/>
      <c r="J372" s="127"/>
      <c r="K372" s="168"/>
    </row>
    <row r="373" spans="2:11" ht="13.5" thickBot="1">
      <c r="B373" s="21" t="s">
        <v>6</v>
      </c>
      <c r="C373" s="25">
        <f>(C366 * C233) - ((C235/12) * C233^2 / 2) - (C230*(C231 - C233))</f>
        <v>-79359.780521262001</v>
      </c>
      <c r="D373" s="24" t="s">
        <v>21</v>
      </c>
      <c r="E373" s="123" t="str">
        <f>IF($C$233&lt;$C$231,"x &lt; a, Not OK","x &gt; a, OK")</f>
        <v>x &lt; a, Not OK</v>
      </c>
      <c r="F373" s="15"/>
      <c r="G373" s="171"/>
      <c r="H373" s="127"/>
      <c r="I373" s="168"/>
      <c r="J373" s="127"/>
      <c r="K373" s="168"/>
    </row>
    <row r="374" spans="2:11" ht="13.5" thickBot="1">
      <c r="C374" s="32" t="s">
        <v>10</v>
      </c>
      <c r="F374" s="15"/>
      <c r="G374" s="171"/>
      <c r="H374" s="127"/>
      <c r="I374" s="168"/>
      <c r="J374" s="127"/>
      <c r="K374" s="168"/>
    </row>
    <row r="375" spans="2:11" ht="13.5" thickBot="1">
      <c r="B375" s="57" t="s">
        <v>240</v>
      </c>
      <c r="C375" s="166">
        <v>120640</v>
      </c>
      <c r="D375" s="24" t="s">
        <v>21</v>
      </c>
      <c r="F375" s="15"/>
      <c r="G375" s="171"/>
      <c r="H375" s="127"/>
      <c r="I375" s="168"/>
      <c r="J375" s="127"/>
      <c r="K375" s="168"/>
    </row>
    <row r="376" spans="2:11">
      <c r="C376" s="32" t="s">
        <v>114</v>
      </c>
      <c r="E376" s="15"/>
      <c r="F376" s="15"/>
      <c r="G376" s="304"/>
      <c r="H376" s="127"/>
      <c r="I376" s="168"/>
      <c r="J376" s="127"/>
      <c r="K376" s="168"/>
    </row>
    <row r="377" spans="2:11">
      <c r="B377" s="21" t="s">
        <v>56</v>
      </c>
      <c r="C377" s="23" t="s">
        <v>25</v>
      </c>
      <c r="D377" s="15"/>
      <c r="E377" s="15"/>
      <c r="G377" s="171"/>
      <c r="H377" s="127"/>
      <c r="I377" s="168"/>
      <c r="J377" s="127"/>
      <c r="K377" s="168"/>
    </row>
    <row r="378" spans="2:11">
      <c r="B378" s="21" t="s">
        <v>6</v>
      </c>
      <c r="C378" s="25">
        <f>C375/C236</f>
        <v>1238.6036960985625</v>
      </c>
      <c r="D378" s="15" t="s">
        <v>15</v>
      </c>
      <c r="E378" s="15"/>
      <c r="G378" s="171"/>
      <c r="H378" s="127"/>
      <c r="I378" s="168"/>
      <c r="J378" s="127"/>
      <c r="K378" s="168"/>
    </row>
    <row r="379" spans="2:11">
      <c r="B379" s="21" t="s">
        <v>57</v>
      </c>
      <c r="C379" s="23" t="s">
        <v>58</v>
      </c>
      <c r="D379" s="24"/>
      <c r="E379" s="15"/>
      <c r="G379" s="171"/>
      <c r="H379" s="127"/>
      <c r="I379" s="168"/>
      <c r="J379" s="127"/>
      <c r="K379" s="168"/>
    </row>
    <row r="380" spans="2:11">
      <c r="B380" s="21" t="s">
        <v>6</v>
      </c>
      <c r="C380" s="29">
        <f>C239/C378</f>
        <v>17.761936339522549</v>
      </c>
      <c r="D380" s="45" t="str">
        <f>IF(C380&lt;2,"SFx &lt; 2.00, Not OK","SFx &gt; 2.00,  OK")</f>
        <v>SFx &gt; 2.00,  OK</v>
      </c>
      <c r="G380" s="171"/>
      <c r="H380" s="127"/>
      <c r="I380" s="168"/>
      <c r="J380" s="127"/>
      <c r="K380" s="168"/>
    </row>
    <row r="381" spans="2:11">
      <c r="G381" s="171"/>
      <c r="H381" s="127"/>
      <c r="I381" s="168"/>
      <c r="J381" s="127"/>
      <c r="K381" s="168"/>
    </row>
    <row r="382" spans="2:11">
      <c r="B382" s="58"/>
      <c r="C382" s="33"/>
      <c r="D382" s="28"/>
      <c r="E382" s="33"/>
      <c r="F382" s="15"/>
      <c r="G382" s="171"/>
      <c r="H382" s="127"/>
      <c r="I382" s="168"/>
      <c r="J382" s="127"/>
      <c r="K382" s="168"/>
    </row>
    <row r="383" spans="2:11">
      <c r="B383" s="44"/>
      <c r="C383" s="43"/>
      <c r="D383" s="24"/>
      <c r="E383" s="24"/>
      <c r="F383" s="15"/>
      <c r="G383" s="171"/>
      <c r="H383" s="127"/>
      <c r="I383" s="168"/>
      <c r="J383" s="127"/>
      <c r="K383" s="168"/>
    </row>
    <row r="384" spans="2:11">
      <c r="B384" s="57" t="s">
        <v>76</v>
      </c>
      <c r="C384" s="23"/>
      <c r="D384" s="15"/>
      <c r="E384" s="15"/>
      <c r="F384" s="15"/>
      <c r="G384" s="171"/>
      <c r="H384" s="127"/>
      <c r="I384" s="168"/>
      <c r="J384" s="127"/>
      <c r="K384" s="168"/>
    </row>
    <row r="385" spans="2:11">
      <c r="B385" s="21" t="s">
        <v>65</v>
      </c>
      <c r="C385" s="23" t="s">
        <v>157</v>
      </c>
      <c r="D385" s="15"/>
      <c r="E385" s="15"/>
      <c r="F385" s="15"/>
      <c r="G385" s="171"/>
      <c r="H385" s="127"/>
      <c r="I385" s="168"/>
      <c r="J385" s="127"/>
      <c r="K385" s="168"/>
    </row>
    <row r="386" spans="2:11" ht="13.5" thickBot="1">
      <c r="B386" s="21" t="s">
        <v>6</v>
      </c>
      <c r="C386" s="30">
        <f>C271+C326</f>
        <v>2.428930433138948E-2</v>
      </c>
      <c r="D386" s="27" t="s">
        <v>20</v>
      </c>
      <c r="E386" s="45" t="str">
        <f>IF(C386&lt;C388,"OK","Not OK")</f>
        <v>OK</v>
      </c>
      <c r="F386" s="15"/>
      <c r="G386" s="171"/>
      <c r="H386" s="127"/>
      <c r="I386" s="168"/>
      <c r="J386" s="127"/>
      <c r="K386" s="168"/>
    </row>
    <row r="387" spans="2:11">
      <c r="B387" s="21" t="s">
        <v>30</v>
      </c>
      <c r="C387" s="23" t="s">
        <v>205</v>
      </c>
      <c r="D387" s="15"/>
      <c r="E387" s="15"/>
      <c r="F387" s="15"/>
      <c r="G387" s="171"/>
      <c r="H387" s="127"/>
      <c r="I387" s="168"/>
      <c r="J387" s="127"/>
      <c r="K387" s="168"/>
    </row>
    <row r="388" spans="2:11" ht="13.5" thickBot="1">
      <c r="B388" s="21" t="s">
        <v>6</v>
      </c>
      <c r="C388" s="30">
        <f>C242/360</f>
        <v>0.6</v>
      </c>
      <c r="D388" s="27" t="s">
        <v>20</v>
      </c>
      <c r="E388" s="15"/>
      <c r="F388" s="15"/>
      <c r="G388" s="171"/>
      <c r="H388" s="127"/>
      <c r="I388" s="168"/>
      <c r="J388" s="127"/>
      <c r="K388" s="168"/>
    </row>
    <row r="389" spans="2:11">
      <c r="B389" s="21"/>
      <c r="C389" s="23"/>
      <c r="D389" s="15"/>
      <c r="E389" s="15"/>
      <c r="F389" s="15"/>
      <c r="G389" s="171"/>
      <c r="H389" s="127"/>
      <c r="I389" s="168"/>
      <c r="J389" s="127"/>
      <c r="K389" s="168"/>
    </row>
    <row r="390" spans="2:11">
      <c r="B390" s="58"/>
      <c r="C390" s="33"/>
      <c r="D390" s="28"/>
      <c r="E390" s="33"/>
      <c r="F390" s="16"/>
      <c r="G390" s="171"/>
      <c r="H390" s="127"/>
      <c r="I390" s="168"/>
      <c r="J390" s="127"/>
      <c r="K390" s="168"/>
    </row>
    <row r="391" spans="2:11">
      <c r="G391" s="171"/>
      <c r="H391" s="127"/>
      <c r="I391" s="168"/>
      <c r="J391" s="127"/>
      <c r="K391" s="168"/>
    </row>
    <row r="392" spans="2:11" ht="15.75">
      <c r="B392" s="336" t="s">
        <v>517</v>
      </c>
      <c r="G392" s="171"/>
      <c r="H392" s="127"/>
      <c r="I392" s="168"/>
      <c r="J392" s="127"/>
      <c r="K392" s="168"/>
    </row>
    <row r="393" spans="2:11">
      <c r="B393" s="35" t="s">
        <v>74</v>
      </c>
      <c r="G393" s="171"/>
      <c r="H393" s="127"/>
      <c r="I393" s="168"/>
      <c r="J393" s="127"/>
      <c r="K393" s="168"/>
    </row>
    <row r="394" spans="2:11">
      <c r="G394" s="171"/>
      <c r="H394" s="127"/>
      <c r="I394" s="168"/>
      <c r="J394" s="127"/>
      <c r="K394" s="168"/>
    </row>
    <row r="395" spans="2:11">
      <c r="G395" s="171"/>
      <c r="H395" s="127"/>
      <c r="I395" s="168"/>
      <c r="J395" s="127"/>
      <c r="K395" s="168"/>
    </row>
    <row r="396" spans="2:11">
      <c r="G396" s="171"/>
      <c r="H396" s="127"/>
      <c r="I396" s="168"/>
      <c r="J396" s="127"/>
      <c r="K396" s="168"/>
    </row>
    <row r="397" spans="2:11">
      <c r="G397" s="171"/>
      <c r="H397" s="127"/>
      <c r="I397" s="168"/>
      <c r="J397" s="127"/>
      <c r="K397" s="168"/>
    </row>
    <row r="398" spans="2:11">
      <c r="G398" s="171"/>
      <c r="H398" s="127"/>
      <c r="I398" s="168"/>
      <c r="J398" s="127"/>
      <c r="K398" s="168"/>
    </row>
    <row r="399" spans="2:11">
      <c r="G399" s="171"/>
      <c r="H399" s="127"/>
      <c r="I399" s="168"/>
      <c r="J399" s="127"/>
      <c r="K399" s="168"/>
    </row>
    <row r="400" spans="2:11">
      <c r="G400" s="171"/>
      <c r="H400" s="127"/>
      <c r="I400" s="168"/>
      <c r="J400" s="127"/>
      <c r="K400" s="168"/>
    </row>
    <row r="401" spans="7:11">
      <c r="G401" s="171"/>
      <c r="H401" s="127"/>
      <c r="I401" s="168"/>
      <c r="J401" s="127"/>
      <c r="K401" s="168"/>
    </row>
    <row r="402" spans="7:11">
      <c r="G402" s="171"/>
      <c r="H402" s="127"/>
      <c r="I402" s="168"/>
      <c r="J402" s="127"/>
      <c r="K402" s="168"/>
    </row>
    <row r="403" spans="7:11">
      <c r="G403" s="171"/>
      <c r="H403" s="127"/>
      <c r="I403" s="168"/>
      <c r="J403" s="127"/>
      <c r="K403" s="168"/>
    </row>
    <row r="404" spans="7:11">
      <c r="G404" s="171"/>
      <c r="H404" s="127"/>
      <c r="I404" s="168"/>
      <c r="J404" s="127"/>
      <c r="K404" s="168"/>
    </row>
    <row r="405" spans="7:11">
      <c r="G405" s="171"/>
      <c r="H405" s="127"/>
      <c r="I405" s="168"/>
      <c r="J405" s="127"/>
      <c r="K405" s="168"/>
    </row>
    <row r="406" spans="7:11">
      <c r="G406" s="171"/>
      <c r="H406" s="127"/>
      <c r="I406" s="168"/>
      <c r="J406" s="127"/>
      <c r="K406" s="168"/>
    </row>
    <row r="407" spans="7:11">
      <c r="G407" s="171"/>
      <c r="H407" s="127"/>
      <c r="I407" s="168"/>
      <c r="J407" s="127"/>
      <c r="K407" s="168"/>
    </row>
    <row r="408" spans="7:11">
      <c r="G408" s="171"/>
      <c r="H408" s="127"/>
      <c r="I408" s="168"/>
      <c r="J408" s="127"/>
      <c r="K408" s="168"/>
    </row>
    <row r="409" spans="7:11">
      <c r="G409" s="171"/>
      <c r="I409" s="168"/>
      <c r="J409" s="127"/>
      <c r="K409" s="168"/>
    </row>
    <row r="410" spans="7:11">
      <c r="G410" s="171"/>
      <c r="H410" s="127"/>
      <c r="I410" s="168"/>
      <c r="J410" s="127"/>
      <c r="K410" s="168"/>
    </row>
    <row r="411" spans="7:11">
      <c r="G411" s="171"/>
      <c r="H411" s="127"/>
      <c r="I411" s="168"/>
      <c r="J411" s="127"/>
      <c r="K411" s="168"/>
    </row>
    <row r="412" spans="7:11">
      <c r="G412" s="171"/>
      <c r="H412" s="127"/>
      <c r="I412" s="168"/>
      <c r="J412" s="127"/>
      <c r="K412" s="168"/>
    </row>
    <row r="413" spans="7:11">
      <c r="G413" s="171"/>
      <c r="H413" s="127"/>
      <c r="I413" s="168"/>
      <c r="J413" s="127"/>
      <c r="K413" s="168"/>
    </row>
    <row r="414" spans="7:11">
      <c r="G414" s="171"/>
      <c r="H414" s="127"/>
      <c r="I414" s="168"/>
      <c r="J414" s="127"/>
      <c r="K414" s="168"/>
    </row>
    <row r="415" spans="7:11">
      <c r="G415" s="171"/>
      <c r="H415" s="127"/>
      <c r="I415" s="168"/>
      <c r="J415" s="127"/>
      <c r="K415" s="168"/>
    </row>
    <row r="416" spans="7:11">
      <c r="G416" s="171"/>
      <c r="H416" s="127"/>
      <c r="I416" s="168"/>
      <c r="J416" s="127"/>
      <c r="K416" s="168"/>
    </row>
    <row r="417" spans="2:11">
      <c r="G417" s="171"/>
      <c r="H417" s="127"/>
      <c r="I417" s="168"/>
      <c r="J417" s="127"/>
      <c r="K417" s="168"/>
    </row>
    <row r="418" spans="2:11">
      <c r="G418" s="171"/>
      <c r="H418" s="127"/>
      <c r="I418" s="168"/>
      <c r="J418" s="127"/>
      <c r="K418" s="168"/>
    </row>
    <row r="419" spans="2:11">
      <c r="G419" s="171"/>
      <c r="H419" s="127"/>
      <c r="I419" s="168"/>
      <c r="J419" s="127"/>
      <c r="K419" s="168"/>
    </row>
    <row r="420" spans="2:11" ht="15" thickBot="1">
      <c r="B420" s="35" t="s">
        <v>525</v>
      </c>
      <c r="C420" s="32" t="s">
        <v>10</v>
      </c>
      <c r="D420" s="20"/>
      <c r="E420" s="14"/>
      <c r="F420" s="14"/>
      <c r="G420" s="171"/>
      <c r="H420" s="127"/>
      <c r="I420" s="168"/>
      <c r="J420" s="127"/>
      <c r="K420" s="168"/>
    </row>
    <row r="421" spans="2:11" ht="16.5" thickBot="1">
      <c r="B421" s="337" t="s">
        <v>524</v>
      </c>
      <c r="C421" s="346">
        <v>7936.3821046532439</v>
      </c>
      <c r="D421" s="15" t="s">
        <v>16</v>
      </c>
      <c r="E421" s="17" t="s">
        <v>42</v>
      </c>
      <c r="F421" s="183">
        <v>10</v>
      </c>
      <c r="G421" s="171"/>
      <c r="H421" s="127"/>
      <c r="I421" s="168"/>
      <c r="J421" s="127"/>
      <c r="K421" s="168"/>
    </row>
    <row r="422" spans="2:11" ht="13.5" thickBot="1">
      <c r="B422" s="21" t="s">
        <v>499</v>
      </c>
      <c r="C422" s="53">
        <v>120</v>
      </c>
      <c r="D422" s="15" t="s">
        <v>20</v>
      </c>
      <c r="E422" s="71" t="s">
        <v>43</v>
      </c>
      <c r="F422" s="18" t="s">
        <v>44</v>
      </c>
      <c r="G422" s="171"/>
      <c r="H422" s="127"/>
      <c r="I422" s="168"/>
      <c r="J422" s="127"/>
      <c r="K422" s="168"/>
    </row>
    <row r="423" spans="2:11" ht="13.5" thickBot="1">
      <c r="B423" s="21" t="s">
        <v>160</v>
      </c>
      <c r="C423" s="53">
        <v>18</v>
      </c>
      <c r="D423" s="15" t="s">
        <v>17</v>
      </c>
      <c r="E423" s="70" t="s">
        <v>6</v>
      </c>
      <c r="F423" s="18">
        <f>F421*12</f>
        <v>120</v>
      </c>
      <c r="G423" s="171"/>
      <c r="H423" s="127"/>
      <c r="I423" s="168"/>
      <c r="J423" s="127"/>
      <c r="K423" s="168"/>
    </row>
    <row r="424" spans="2:11">
      <c r="B424" s="21" t="s">
        <v>40</v>
      </c>
      <c r="C424" s="53">
        <v>80</v>
      </c>
      <c r="D424" s="15" t="s">
        <v>29</v>
      </c>
      <c r="E424" s="124"/>
      <c r="F424" s="15"/>
      <c r="G424" s="171"/>
      <c r="H424" s="127"/>
      <c r="I424" s="168"/>
      <c r="J424" s="127"/>
      <c r="K424" s="168"/>
    </row>
    <row r="425" spans="2:11">
      <c r="B425" s="21" t="s">
        <v>216</v>
      </c>
      <c r="C425" s="53" t="s">
        <v>373</v>
      </c>
      <c r="D425" s="15" t="s">
        <v>22</v>
      </c>
      <c r="E425" s="15"/>
      <c r="F425" s="23"/>
      <c r="G425" s="171"/>
      <c r="H425" s="127"/>
      <c r="I425" s="168"/>
      <c r="J425" s="127"/>
      <c r="K425" s="168"/>
    </row>
    <row r="426" spans="2:11">
      <c r="B426" s="21" t="s">
        <v>31</v>
      </c>
      <c r="C426" s="53">
        <v>72</v>
      </c>
      <c r="D426" s="15" t="s">
        <v>55</v>
      </c>
      <c r="E426" s="15"/>
      <c r="G426" s="171"/>
      <c r="H426" s="127"/>
      <c r="I426" s="168"/>
      <c r="J426" s="127"/>
      <c r="K426" s="168"/>
    </row>
    <row r="427" spans="2:11">
      <c r="B427" s="21" t="s">
        <v>12</v>
      </c>
      <c r="C427" s="258">
        <v>97.4</v>
      </c>
      <c r="D427" s="24" t="s">
        <v>13</v>
      </c>
      <c r="E427" s="15"/>
      <c r="G427" s="171"/>
      <c r="H427" s="127"/>
      <c r="I427" s="168"/>
      <c r="J427" s="127"/>
      <c r="K427" s="168"/>
    </row>
    <row r="428" spans="2:11">
      <c r="B428" s="21" t="s">
        <v>175</v>
      </c>
      <c r="C428" s="53">
        <v>597</v>
      </c>
      <c r="D428" s="15" t="s">
        <v>27</v>
      </c>
      <c r="E428" s="15"/>
      <c r="G428" s="171"/>
      <c r="H428" s="127"/>
      <c r="I428" s="168"/>
      <c r="J428" s="127"/>
      <c r="K428" s="168"/>
    </row>
    <row r="429" spans="2:11">
      <c r="B429" s="21" t="s">
        <v>28</v>
      </c>
      <c r="C429" s="53">
        <v>29000000</v>
      </c>
      <c r="D429" s="15" t="s">
        <v>15</v>
      </c>
      <c r="E429" s="15"/>
      <c r="G429" s="171"/>
      <c r="H429" s="127"/>
      <c r="I429" s="168"/>
      <c r="J429" s="127"/>
      <c r="K429" s="168"/>
    </row>
    <row r="430" spans="2:11" ht="13.5" thickBot="1">
      <c r="B430" s="21" t="s">
        <v>14</v>
      </c>
      <c r="C430" s="54">
        <v>22000</v>
      </c>
      <c r="D430" s="15" t="s">
        <v>15</v>
      </c>
      <c r="E430" s="15"/>
      <c r="F430" s="15"/>
      <c r="G430" s="171"/>
      <c r="H430" s="127"/>
      <c r="I430" s="168"/>
      <c r="J430" s="127"/>
      <c r="K430" s="168"/>
    </row>
    <row r="431" spans="2:11">
      <c r="B431" s="21"/>
      <c r="C431" s="32" t="s">
        <v>114</v>
      </c>
      <c r="D431" s="16"/>
      <c r="E431" s="15"/>
      <c r="F431" s="15"/>
      <c r="G431" s="171"/>
      <c r="H431" s="127"/>
      <c r="I431" s="168"/>
      <c r="J431" s="127"/>
      <c r="K431" s="168"/>
    </row>
    <row r="432" spans="2:11">
      <c r="B432" s="21" t="s">
        <v>161</v>
      </c>
      <c r="C432" s="23" t="s">
        <v>162</v>
      </c>
      <c r="D432" s="15"/>
      <c r="E432" s="15"/>
      <c r="G432" s="171"/>
      <c r="H432" s="127"/>
      <c r="I432" s="168"/>
      <c r="J432" s="127"/>
      <c r="K432" s="168"/>
    </row>
    <row r="433" spans="2:11">
      <c r="B433" s="19" t="s">
        <v>6</v>
      </c>
      <c r="C433" s="25">
        <f>12*C423</f>
        <v>216</v>
      </c>
      <c r="D433" s="15" t="s">
        <v>20</v>
      </c>
      <c r="E433" s="16"/>
      <c r="F433" s="16"/>
      <c r="G433" s="171"/>
      <c r="H433" s="127"/>
      <c r="I433" s="168"/>
      <c r="J433" s="127"/>
      <c r="K433" s="168"/>
    </row>
    <row r="434" spans="2:11">
      <c r="B434" s="63" t="s">
        <v>223</v>
      </c>
      <c r="C434" s="74">
        <v>0</v>
      </c>
      <c r="G434" s="171"/>
      <c r="H434" s="127"/>
      <c r="I434" s="168"/>
      <c r="J434" s="127"/>
      <c r="K434" s="168"/>
    </row>
    <row r="435" spans="2:11" ht="15.75">
      <c r="B435" s="337" t="s">
        <v>519</v>
      </c>
      <c r="C435" s="12" t="s">
        <v>518</v>
      </c>
      <c r="G435" s="171"/>
      <c r="H435" s="127"/>
      <c r="I435" s="168"/>
      <c r="J435" s="127"/>
      <c r="K435" s="168"/>
    </row>
    <row r="436" spans="2:11">
      <c r="B436" s="63" t="s">
        <v>6</v>
      </c>
      <c r="C436" s="81">
        <f>C421</f>
        <v>7936.3821046532439</v>
      </c>
      <c r="D436" t="s">
        <v>16</v>
      </c>
      <c r="G436" s="171"/>
      <c r="H436" s="127"/>
      <c r="I436" s="168"/>
      <c r="J436" s="127"/>
      <c r="K436" s="168"/>
    </row>
    <row r="437" spans="2:11" ht="15.75">
      <c r="B437" s="337" t="s">
        <v>521</v>
      </c>
      <c r="C437" s="31" t="s">
        <v>520</v>
      </c>
      <c r="D437" s="15"/>
      <c r="G437" s="171"/>
      <c r="H437" s="127"/>
      <c r="I437" s="168"/>
      <c r="J437" s="127"/>
      <c r="K437" s="168"/>
    </row>
    <row r="438" spans="2:11">
      <c r="B438" s="19" t="s">
        <v>6</v>
      </c>
      <c r="C438" s="31">
        <f>C436*(C433/2 - C424)</f>
        <v>222218.69893029082</v>
      </c>
      <c r="D438" s="15" t="s">
        <v>21</v>
      </c>
      <c r="G438" s="171"/>
      <c r="H438" s="127"/>
      <c r="I438" s="168"/>
      <c r="J438" s="127"/>
      <c r="K438" s="168"/>
    </row>
    <row r="439" spans="2:11" ht="15.75">
      <c r="B439" s="337" t="s">
        <v>522</v>
      </c>
      <c r="C439" s="12" t="s">
        <v>523</v>
      </c>
      <c r="D439" s="15"/>
      <c r="E439" s="15"/>
      <c r="F439" s="15"/>
      <c r="G439" s="171"/>
      <c r="H439" s="127"/>
      <c r="I439" s="168"/>
      <c r="J439" s="127"/>
      <c r="K439" s="168"/>
    </row>
    <row r="440" spans="2:11">
      <c r="B440" s="21" t="s">
        <v>6</v>
      </c>
      <c r="C440" s="338">
        <f>C421*C433 / 2</f>
        <v>857129.26730255038</v>
      </c>
      <c r="D440" s="15" t="s">
        <v>21</v>
      </c>
      <c r="E440" s="15"/>
      <c r="F440" s="15"/>
      <c r="G440" s="171"/>
      <c r="H440" s="127"/>
      <c r="I440" s="168"/>
      <c r="J440" s="127"/>
      <c r="K440" s="168"/>
    </row>
    <row r="441" spans="2:11" ht="15.75">
      <c r="B441" s="337" t="s">
        <v>528</v>
      </c>
      <c r="C441" s="31" t="s">
        <v>527</v>
      </c>
      <c r="D441" s="15"/>
      <c r="E441" s="15"/>
      <c r="F441" s="15"/>
      <c r="G441" s="171"/>
      <c r="H441" s="127"/>
      <c r="I441" s="168"/>
      <c r="J441" s="127"/>
    </row>
    <row r="442" spans="2:11">
      <c r="B442" s="21" t="s">
        <v>6</v>
      </c>
      <c r="C442" s="339">
        <f>C421*C433^3 / (12*C429*C428)</f>
        <v>0.38497297883351422</v>
      </c>
      <c r="D442" s="12" t="s">
        <v>29</v>
      </c>
      <c r="E442" s="15"/>
      <c r="F442" s="15"/>
      <c r="G442" s="171"/>
      <c r="H442" s="127"/>
      <c r="I442" s="168"/>
      <c r="J442" s="127"/>
    </row>
    <row r="443" spans="2:11" ht="15.75">
      <c r="B443" s="337" t="s">
        <v>529</v>
      </c>
      <c r="C443" s="31" t="s">
        <v>526</v>
      </c>
      <c r="E443" s="15"/>
      <c r="F443" s="15"/>
      <c r="G443" s="171"/>
      <c r="H443" s="127"/>
      <c r="I443" s="168"/>
      <c r="J443" s="127"/>
    </row>
    <row r="444" spans="2:11">
      <c r="B444" s="337" t="s">
        <v>6</v>
      </c>
      <c r="C444" s="339">
        <f>C421*(C433-C424)^2*(C433 + 2*C424) / (12*C429*C428)</f>
        <v>0.26566519186585497</v>
      </c>
      <c r="E444" s="124"/>
      <c r="F444" s="15"/>
      <c r="G444" s="171"/>
      <c r="H444" s="127"/>
      <c r="I444" s="168"/>
      <c r="J444" s="127"/>
    </row>
    <row r="445" spans="2:11">
      <c r="B445" s="21" t="s">
        <v>56</v>
      </c>
      <c r="C445" s="23" t="s">
        <v>25</v>
      </c>
      <c r="D445" s="15"/>
      <c r="E445" s="15"/>
      <c r="G445" s="171"/>
      <c r="I445" s="168"/>
      <c r="J445" s="127"/>
    </row>
    <row r="446" spans="2:11">
      <c r="B446" s="21" t="s">
        <v>6</v>
      </c>
      <c r="C446" s="25">
        <f>C440/C427</f>
        <v>8800.0951468434323</v>
      </c>
      <c r="D446" s="15" t="s">
        <v>15</v>
      </c>
      <c r="E446" s="15"/>
      <c r="G446" s="171"/>
      <c r="H446" s="127"/>
      <c r="I446" s="168"/>
      <c r="J446" s="127"/>
    </row>
    <row r="447" spans="2:11" ht="13.5" thickBot="1">
      <c r="B447" s="21" t="s">
        <v>57</v>
      </c>
      <c r="C447" s="23" t="s">
        <v>58</v>
      </c>
      <c r="D447" s="24"/>
      <c r="E447" s="15"/>
      <c r="G447" s="171"/>
      <c r="H447" s="127"/>
      <c r="I447" s="168"/>
      <c r="J447" s="127"/>
    </row>
    <row r="448" spans="2:11" ht="13.5" thickBot="1">
      <c r="B448" s="21" t="s">
        <v>6</v>
      </c>
      <c r="C448" s="345">
        <f>C430/C446</f>
        <v>2.4999729699390052</v>
      </c>
      <c r="D448" s="45" t="str">
        <f>IF(C448&lt;2,"SFx &lt; 2.00, Not OK","SFx &gt; 2.00,  OK")</f>
        <v>SFx &gt; 2.00,  OK</v>
      </c>
      <c r="G448" s="171"/>
      <c r="H448" s="127"/>
      <c r="I448" s="168"/>
      <c r="J448" s="127"/>
    </row>
    <row r="449" spans="2:10">
      <c r="G449" s="171"/>
      <c r="H449" s="127"/>
      <c r="I449" s="168"/>
      <c r="J449" s="127"/>
    </row>
    <row r="450" spans="2:10" ht="15.75">
      <c r="B450" s="68" t="s">
        <v>134</v>
      </c>
      <c r="G450" s="171"/>
      <c r="H450" s="127"/>
      <c r="I450" s="168"/>
      <c r="J450" s="127"/>
    </row>
    <row r="451" spans="2:10">
      <c r="G451" s="171"/>
      <c r="H451" s="127"/>
      <c r="I451" s="168"/>
      <c r="J451" s="127"/>
    </row>
    <row r="452" spans="2:10">
      <c r="G452" s="171"/>
      <c r="H452" s="127"/>
      <c r="I452" s="168"/>
      <c r="J452" s="127"/>
    </row>
  </sheetData>
  <sheetProtection sheet="1" objects="1" scenarios="1" formatCells="0" selectLockedCells="1"/>
  <phoneticPr fontId="16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M199"/>
  <sheetViews>
    <sheetView zoomScaleNormal="100" workbookViewId="0">
      <selection activeCell="I1" sqref="I1"/>
    </sheetView>
  </sheetViews>
  <sheetFormatPr defaultRowHeight="12.75"/>
  <cols>
    <col min="1" max="1" width="6" customWidth="1"/>
    <col min="2" max="2" width="34.28515625" customWidth="1"/>
    <col min="3" max="3" width="12.140625" customWidth="1"/>
    <col min="9" max="9" width="36.5703125" customWidth="1"/>
  </cols>
  <sheetData>
    <row r="1" spans="2:13" ht="18">
      <c r="B1" s="72" t="s">
        <v>516</v>
      </c>
      <c r="H1" s="127"/>
      <c r="I1" s="127"/>
      <c r="J1" s="127"/>
      <c r="K1" s="127"/>
      <c r="L1" s="127"/>
      <c r="M1" s="127"/>
    </row>
    <row r="2" spans="2:13">
      <c r="B2" s="9" t="s">
        <v>515</v>
      </c>
      <c r="H2" s="127"/>
      <c r="I2" s="127"/>
      <c r="J2" s="127"/>
      <c r="K2" s="127"/>
      <c r="L2" s="127"/>
      <c r="M2" s="127"/>
    </row>
    <row r="3" spans="2:13">
      <c r="H3" s="127"/>
      <c r="I3" s="127"/>
      <c r="J3" s="127"/>
      <c r="K3" s="127"/>
      <c r="L3" s="127"/>
      <c r="M3" s="127"/>
    </row>
    <row r="4" spans="2:13" ht="13.5" thickBot="1">
      <c r="B4" s="201" t="s">
        <v>394</v>
      </c>
      <c r="E4" s="208"/>
      <c r="H4" s="127"/>
      <c r="I4" s="127"/>
      <c r="J4" s="127"/>
      <c r="K4" s="127"/>
      <c r="L4" s="127"/>
      <c r="M4" s="127"/>
    </row>
    <row r="5" spans="2:13">
      <c r="B5" s="63"/>
      <c r="C5" s="288"/>
      <c r="D5" s="289" t="s">
        <v>370</v>
      </c>
      <c r="E5" s="290" t="s">
        <v>401</v>
      </c>
      <c r="F5" s="291" t="s">
        <v>368</v>
      </c>
      <c r="H5" s="127"/>
      <c r="I5" s="127"/>
      <c r="J5" s="127"/>
      <c r="K5" s="127"/>
      <c r="L5" s="127"/>
      <c r="M5" s="127"/>
    </row>
    <row r="6" spans="2:13" ht="13.5" thickBot="1">
      <c r="B6" s="63"/>
      <c r="C6" s="292"/>
      <c r="D6" s="293" t="s">
        <v>371</v>
      </c>
      <c r="E6" s="294" t="s">
        <v>27</v>
      </c>
      <c r="F6" s="295" t="s">
        <v>13</v>
      </c>
      <c r="H6" s="127"/>
      <c r="I6" s="127"/>
      <c r="J6" s="127"/>
      <c r="K6" s="127"/>
      <c r="L6" s="127"/>
      <c r="M6" s="127"/>
    </row>
    <row r="7" spans="2:13">
      <c r="B7" s="63"/>
      <c r="C7" s="296" t="s">
        <v>340</v>
      </c>
      <c r="D7" s="279">
        <v>40</v>
      </c>
      <c r="E7" s="280">
        <v>307</v>
      </c>
      <c r="F7" s="281">
        <v>51.5</v>
      </c>
      <c r="H7" s="127"/>
      <c r="I7" s="127"/>
      <c r="J7" s="127"/>
      <c r="K7" s="127"/>
      <c r="L7" s="127"/>
      <c r="M7" s="127"/>
    </row>
    <row r="8" spans="2:13">
      <c r="B8" s="63"/>
      <c r="C8" s="297" t="s">
        <v>373</v>
      </c>
      <c r="D8" s="282">
        <v>72</v>
      </c>
      <c r="E8" s="283">
        <v>597</v>
      </c>
      <c r="F8" s="284">
        <v>97.4</v>
      </c>
      <c r="H8" s="127"/>
      <c r="I8" s="127"/>
      <c r="J8" s="127"/>
      <c r="K8" s="127"/>
      <c r="L8" s="127"/>
      <c r="M8" s="127"/>
    </row>
    <row r="9" spans="2:13">
      <c r="B9" s="63"/>
      <c r="C9" s="297" t="s">
        <v>372</v>
      </c>
      <c r="D9" s="282">
        <v>120</v>
      </c>
      <c r="E9" s="283">
        <v>1070</v>
      </c>
      <c r="F9" s="285">
        <v>163</v>
      </c>
      <c r="H9" s="127"/>
      <c r="I9" s="127"/>
      <c r="J9" s="127"/>
      <c r="K9" s="127"/>
      <c r="L9" s="127"/>
      <c r="M9" s="127"/>
    </row>
    <row r="10" spans="2:13">
      <c r="B10" s="63"/>
      <c r="C10" s="297"/>
      <c r="D10" s="282"/>
      <c r="E10" s="283"/>
      <c r="F10" s="283"/>
      <c r="H10" s="127"/>
      <c r="I10" s="127"/>
      <c r="J10" s="127"/>
      <c r="K10" s="127"/>
      <c r="L10" s="127"/>
      <c r="M10" s="127"/>
    </row>
    <row r="11" spans="2:13">
      <c r="B11" s="63"/>
      <c r="C11" s="297" t="s">
        <v>374</v>
      </c>
      <c r="D11" s="282">
        <v>61</v>
      </c>
      <c r="E11" s="283">
        <v>640</v>
      </c>
      <c r="F11" s="284">
        <v>92.1</v>
      </c>
      <c r="H11" s="127"/>
      <c r="I11" s="127"/>
      <c r="J11" s="127"/>
      <c r="K11" s="127"/>
      <c r="L11" s="127"/>
      <c r="M11" s="127"/>
    </row>
    <row r="12" spans="2:13">
      <c r="B12" s="63"/>
      <c r="C12" s="297" t="s">
        <v>376</v>
      </c>
      <c r="D12" s="282">
        <v>283</v>
      </c>
      <c r="E12" s="283">
        <v>3840</v>
      </c>
      <c r="F12" s="285">
        <v>459</v>
      </c>
      <c r="H12" s="127"/>
      <c r="I12" s="127"/>
      <c r="J12" s="127"/>
      <c r="K12" s="127"/>
      <c r="L12" s="127"/>
      <c r="M12" s="127"/>
    </row>
    <row r="13" spans="2:13">
      <c r="B13" s="63"/>
      <c r="C13" s="297" t="s">
        <v>375</v>
      </c>
      <c r="D13" s="282">
        <v>500</v>
      </c>
      <c r="E13" s="283">
        <v>8210</v>
      </c>
      <c r="F13" s="285">
        <v>838</v>
      </c>
      <c r="H13" s="127"/>
      <c r="I13" s="127"/>
      <c r="J13" s="127"/>
      <c r="K13" s="127"/>
      <c r="L13" s="127"/>
      <c r="M13" s="127"/>
    </row>
    <row r="14" spans="2:13">
      <c r="B14" s="63"/>
      <c r="C14" s="297"/>
      <c r="D14" s="282"/>
      <c r="E14" s="283"/>
      <c r="F14" s="283"/>
      <c r="H14" s="127"/>
      <c r="I14" s="127"/>
      <c r="J14" s="127"/>
      <c r="K14" s="127"/>
      <c r="L14" s="127"/>
      <c r="M14" s="127"/>
    </row>
    <row r="15" spans="2:13">
      <c r="B15" s="63"/>
      <c r="C15" s="297" t="s">
        <v>377</v>
      </c>
      <c r="D15" s="282">
        <v>50</v>
      </c>
      <c r="E15" s="283">
        <v>659</v>
      </c>
      <c r="F15" s="284">
        <v>81</v>
      </c>
      <c r="H15" s="127"/>
      <c r="I15" s="127"/>
      <c r="J15" s="127"/>
      <c r="K15" s="127"/>
      <c r="L15" s="127"/>
      <c r="M15" s="127"/>
    </row>
    <row r="16" spans="2:13">
      <c r="B16" s="63"/>
      <c r="C16" s="297" t="s">
        <v>378</v>
      </c>
      <c r="D16" s="282">
        <v>100</v>
      </c>
      <c r="E16" s="283">
        <v>1500</v>
      </c>
      <c r="F16" s="285">
        <v>177</v>
      </c>
      <c r="H16" s="127"/>
      <c r="I16" s="127"/>
      <c r="J16" s="127"/>
      <c r="K16" s="127"/>
      <c r="L16" s="127"/>
      <c r="M16" s="127"/>
    </row>
    <row r="17" spans="2:13">
      <c r="B17" s="63"/>
      <c r="C17" s="297"/>
      <c r="D17" s="282"/>
      <c r="E17" s="283"/>
      <c r="F17" s="283"/>
      <c r="H17" s="127"/>
      <c r="I17" s="127"/>
      <c r="J17" s="127"/>
      <c r="K17" s="127"/>
      <c r="L17" s="127"/>
      <c r="M17" s="127"/>
    </row>
    <row r="18" spans="2:13">
      <c r="B18" s="63"/>
      <c r="C18" s="297" t="s">
        <v>11</v>
      </c>
      <c r="D18" s="282">
        <v>60</v>
      </c>
      <c r="E18" s="283">
        <v>984</v>
      </c>
      <c r="F18" s="284">
        <v>108</v>
      </c>
      <c r="H18" s="127"/>
      <c r="I18" s="127"/>
      <c r="J18" s="127"/>
      <c r="K18" s="127"/>
      <c r="L18" s="127"/>
      <c r="M18" s="127"/>
    </row>
    <row r="19" spans="2:13">
      <c r="B19" s="63"/>
      <c r="C19" s="297" t="s">
        <v>380</v>
      </c>
      <c r="D19" s="282">
        <v>158</v>
      </c>
      <c r="E19" s="283">
        <v>3060</v>
      </c>
      <c r="F19" s="285">
        <v>310</v>
      </c>
      <c r="H19" s="127"/>
      <c r="I19" s="127"/>
      <c r="J19" s="127"/>
      <c r="K19" s="127"/>
      <c r="L19" s="127"/>
      <c r="M19" s="127"/>
    </row>
    <row r="20" spans="2:13">
      <c r="B20" s="63"/>
      <c r="C20" s="297" t="s">
        <v>379</v>
      </c>
      <c r="D20" s="282">
        <v>283</v>
      </c>
      <c r="E20" s="283">
        <v>564</v>
      </c>
      <c r="F20" s="283">
        <v>6160</v>
      </c>
      <c r="H20" s="127"/>
      <c r="I20" s="127"/>
      <c r="J20" s="127"/>
      <c r="K20" s="127"/>
      <c r="L20" s="127"/>
      <c r="M20" s="127"/>
    </row>
    <row r="21" spans="2:13">
      <c r="B21" s="63"/>
      <c r="C21" s="297"/>
      <c r="D21" s="282"/>
      <c r="E21" s="283"/>
      <c r="F21" s="283"/>
      <c r="H21" s="127"/>
      <c r="I21" s="127"/>
      <c r="J21" s="127"/>
      <c r="K21" s="127"/>
      <c r="L21" s="127"/>
      <c r="M21" s="127"/>
    </row>
    <row r="22" spans="2:13">
      <c r="B22" s="63"/>
      <c r="C22" s="297" t="s">
        <v>381</v>
      </c>
      <c r="D22" s="282">
        <v>62</v>
      </c>
      <c r="E22" s="283">
        <v>1560</v>
      </c>
      <c r="F22" s="285">
        <v>132</v>
      </c>
      <c r="H22" s="127"/>
      <c r="I22" s="127"/>
      <c r="J22" s="127"/>
      <c r="K22" s="127"/>
      <c r="L22" s="127"/>
      <c r="M22" s="127"/>
    </row>
    <row r="23" spans="2:13">
      <c r="B23" s="63"/>
      <c r="C23" s="297" t="s">
        <v>383</v>
      </c>
      <c r="D23" s="282">
        <v>250</v>
      </c>
      <c r="E23" s="283">
        <v>8490</v>
      </c>
      <c r="F23" s="285">
        <v>644</v>
      </c>
      <c r="H23" s="127"/>
      <c r="I23" s="127"/>
      <c r="J23" s="127"/>
      <c r="K23" s="127"/>
      <c r="L23" s="127"/>
      <c r="M23" s="127"/>
    </row>
    <row r="24" spans="2:13" ht="13.5" thickBot="1">
      <c r="B24" s="63"/>
      <c r="C24" s="298" t="s">
        <v>382</v>
      </c>
      <c r="D24" s="286">
        <v>450</v>
      </c>
      <c r="E24" s="287">
        <v>17100</v>
      </c>
      <c r="F24" s="287">
        <v>1170</v>
      </c>
      <c r="H24" s="127"/>
      <c r="I24" s="127"/>
      <c r="J24" s="127"/>
      <c r="K24" s="127"/>
      <c r="L24" s="127"/>
      <c r="M24" s="127"/>
    </row>
    <row r="25" spans="2:13">
      <c r="H25" s="127"/>
      <c r="I25" s="127"/>
      <c r="J25" s="127"/>
      <c r="K25" s="127"/>
      <c r="L25" s="127"/>
      <c r="M25" s="127"/>
    </row>
    <row r="26" spans="2:13" ht="15.75">
      <c r="B26" s="103" t="s">
        <v>260</v>
      </c>
      <c r="H26" s="127"/>
      <c r="I26" s="127"/>
      <c r="J26" s="127"/>
      <c r="K26" s="127"/>
      <c r="L26" s="127"/>
      <c r="M26" s="127"/>
    </row>
    <row r="27" spans="2:13">
      <c r="B27" s="35" t="s">
        <v>74</v>
      </c>
      <c r="H27" s="127"/>
      <c r="I27" s="127"/>
      <c r="J27" s="127"/>
      <c r="K27" s="127"/>
      <c r="L27" s="127"/>
      <c r="M27" s="127"/>
    </row>
    <row r="28" spans="2:13">
      <c r="B28" s="9" t="s">
        <v>366</v>
      </c>
      <c r="H28" s="127"/>
      <c r="I28" s="127"/>
      <c r="J28" s="127"/>
      <c r="K28" s="127"/>
      <c r="L28" s="127"/>
      <c r="M28" s="127"/>
    </row>
    <row r="29" spans="2:13">
      <c r="H29" s="127"/>
      <c r="I29" s="127"/>
      <c r="J29" s="127"/>
      <c r="K29" s="127"/>
      <c r="L29" s="127"/>
      <c r="M29" s="127"/>
    </row>
    <row r="30" spans="2:13">
      <c r="H30" s="127"/>
      <c r="I30" s="127"/>
      <c r="J30" s="127"/>
      <c r="K30" s="127"/>
      <c r="L30" s="127"/>
      <c r="M30" s="127"/>
    </row>
    <row r="31" spans="2:13">
      <c r="H31" s="127"/>
      <c r="I31" s="127"/>
      <c r="J31" s="127"/>
      <c r="K31" s="127"/>
      <c r="L31" s="127"/>
      <c r="M31" s="127"/>
    </row>
    <row r="32" spans="2:13">
      <c r="H32" s="127"/>
      <c r="I32" s="127"/>
      <c r="J32" s="127"/>
      <c r="K32" s="127"/>
      <c r="L32" s="127"/>
      <c r="M32" s="127"/>
    </row>
    <row r="33" spans="8:13">
      <c r="H33" s="127"/>
      <c r="I33" s="127"/>
      <c r="J33" s="127"/>
      <c r="K33" s="127"/>
      <c r="L33" s="127"/>
      <c r="M33" s="127"/>
    </row>
    <row r="34" spans="8:13">
      <c r="H34" s="127"/>
      <c r="I34" s="127"/>
      <c r="J34" s="127"/>
      <c r="K34" s="127"/>
      <c r="L34" s="127"/>
      <c r="M34" s="127"/>
    </row>
    <row r="35" spans="8:13">
      <c r="H35" s="127"/>
      <c r="I35" s="127"/>
      <c r="J35" s="127"/>
      <c r="K35" s="127"/>
      <c r="L35" s="127"/>
      <c r="M35" s="127"/>
    </row>
    <row r="36" spans="8:13">
      <c r="H36" s="127"/>
      <c r="I36" s="127"/>
      <c r="J36" s="127"/>
      <c r="K36" s="127"/>
      <c r="L36" s="127"/>
      <c r="M36" s="127"/>
    </row>
    <row r="37" spans="8:13">
      <c r="H37" s="127"/>
      <c r="I37" s="127"/>
      <c r="J37" s="127"/>
      <c r="K37" s="127"/>
      <c r="L37" s="127"/>
      <c r="M37" s="127"/>
    </row>
    <row r="38" spans="8:13">
      <c r="H38" s="127"/>
      <c r="I38" s="127"/>
      <c r="J38" s="127"/>
      <c r="K38" s="127"/>
      <c r="L38" s="127"/>
      <c r="M38" s="127"/>
    </row>
    <row r="39" spans="8:13">
      <c r="H39" s="127"/>
      <c r="I39" s="127"/>
      <c r="J39" s="127"/>
      <c r="K39" s="127"/>
      <c r="L39" s="127"/>
      <c r="M39" s="127"/>
    </row>
    <row r="40" spans="8:13">
      <c r="H40" s="127"/>
      <c r="I40" s="127"/>
      <c r="J40" s="127"/>
      <c r="K40" s="127"/>
      <c r="L40" s="127"/>
      <c r="M40" s="127"/>
    </row>
    <row r="41" spans="8:13">
      <c r="H41" s="127"/>
      <c r="I41" s="127"/>
      <c r="J41" s="127"/>
      <c r="K41" s="127"/>
      <c r="L41" s="127"/>
      <c r="M41" s="127"/>
    </row>
    <row r="42" spans="8:13">
      <c r="H42" s="127"/>
      <c r="I42" s="127"/>
      <c r="J42" s="127"/>
      <c r="K42" s="127"/>
      <c r="L42" s="127"/>
      <c r="M42" s="127"/>
    </row>
    <row r="43" spans="8:13">
      <c r="H43" s="127"/>
      <c r="I43" s="127"/>
      <c r="J43" s="127"/>
      <c r="K43" s="127"/>
      <c r="L43" s="127"/>
      <c r="M43" s="127"/>
    </row>
    <row r="44" spans="8:13">
      <c r="H44" s="127"/>
      <c r="I44" s="127"/>
      <c r="J44" s="127"/>
      <c r="K44" s="127"/>
      <c r="L44" s="127"/>
      <c r="M44" s="127"/>
    </row>
    <row r="45" spans="8:13">
      <c r="H45" s="127"/>
      <c r="I45" s="127"/>
      <c r="J45" s="127"/>
      <c r="K45" s="127"/>
      <c r="L45" s="127"/>
      <c r="M45" s="127"/>
    </row>
    <row r="46" spans="8:13">
      <c r="H46" s="127"/>
      <c r="I46" s="127"/>
      <c r="J46" s="127"/>
      <c r="K46" s="127"/>
      <c r="L46" s="127"/>
      <c r="M46" s="127"/>
    </row>
    <row r="47" spans="8:13">
      <c r="H47" s="127"/>
      <c r="I47" s="127"/>
      <c r="J47" s="127"/>
      <c r="K47" s="127"/>
      <c r="L47" s="127"/>
      <c r="M47" s="127"/>
    </row>
    <row r="48" spans="8:13">
      <c r="H48" s="127"/>
      <c r="I48" s="127"/>
      <c r="J48" s="127"/>
      <c r="K48" s="127"/>
      <c r="L48" s="127"/>
      <c r="M48" s="127"/>
    </row>
    <row r="49" spans="2:13">
      <c r="H49" s="127"/>
      <c r="I49" s="127"/>
      <c r="J49" s="127"/>
      <c r="K49" s="127"/>
      <c r="L49" s="127"/>
      <c r="M49" s="127"/>
    </row>
    <row r="50" spans="2:13">
      <c r="H50" s="288"/>
      <c r="I50" s="288"/>
      <c r="J50" s="288"/>
      <c r="K50" s="288"/>
      <c r="L50" s="288"/>
      <c r="M50" s="127"/>
    </row>
    <row r="51" spans="2:13">
      <c r="H51" s="288"/>
      <c r="I51" s="353"/>
      <c r="J51" s="288"/>
      <c r="K51" s="288"/>
      <c r="L51" s="288"/>
      <c r="M51" s="127"/>
    </row>
    <row r="52" spans="2:13">
      <c r="H52" s="288"/>
      <c r="I52" s="288"/>
      <c r="J52" s="288"/>
      <c r="K52" s="288"/>
      <c r="L52" s="288"/>
      <c r="M52" s="127"/>
    </row>
    <row r="53" spans="2:13">
      <c r="H53" s="288"/>
      <c r="I53" s="288"/>
      <c r="J53" s="288"/>
      <c r="K53" s="288"/>
      <c r="L53" s="288"/>
      <c r="M53" s="127"/>
    </row>
    <row r="54" spans="2:13">
      <c r="H54" s="288"/>
      <c r="I54" s="288"/>
      <c r="J54" s="288"/>
      <c r="K54" s="288"/>
      <c r="L54" s="288"/>
      <c r="M54" s="127"/>
    </row>
    <row r="55" spans="2:13">
      <c r="H55" s="288"/>
      <c r="I55" s="288"/>
      <c r="J55" s="288"/>
      <c r="K55" s="288"/>
      <c r="L55" s="288"/>
      <c r="M55" s="127"/>
    </row>
    <row r="56" spans="2:13" ht="13.5" thickBot="1">
      <c r="B56" s="35" t="s">
        <v>317</v>
      </c>
      <c r="C56" s="32" t="s">
        <v>10</v>
      </c>
      <c r="D56" s="20"/>
      <c r="E56" s="15"/>
      <c r="F56" s="15"/>
      <c r="G56" s="15"/>
      <c r="H56" s="288"/>
      <c r="I56" s="288"/>
      <c r="J56" s="288"/>
      <c r="K56" s="288"/>
      <c r="L56" s="288"/>
      <c r="M56" s="127"/>
    </row>
    <row r="57" spans="2:13" ht="13.5" thickBot="1">
      <c r="B57" s="21" t="s">
        <v>32</v>
      </c>
      <c r="C57" s="52">
        <v>5000</v>
      </c>
      <c r="D57" s="15" t="s">
        <v>16</v>
      </c>
      <c r="E57" s="15"/>
      <c r="F57" s="17" t="s">
        <v>42</v>
      </c>
      <c r="G57" s="183">
        <v>10</v>
      </c>
      <c r="H57" s="354"/>
      <c r="I57" s="355"/>
      <c r="J57" s="356"/>
      <c r="K57" s="356"/>
      <c r="L57" s="288"/>
      <c r="M57" s="127"/>
    </row>
    <row r="58" spans="2:13" ht="13.5" thickBot="1">
      <c r="B58" s="21" t="s">
        <v>60</v>
      </c>
      <c r="C58" s="53">
        <v>100</v>
      </c>
      <c r="D58" s="15" t="s">
        <v>20</v>
      </c>
      <c r="E58" s="15"/>
      <c r="F58" s="71" t="s">
        <v>43</v>
      </c>
      <c r="G58" s="18" t="s">
        <v>44</v>
      </c>
      <c r="H58" s="354"/>
      <c r="I58" s="355"/>
      <c r="J58" s="356"/>
      <c r="K58" s="356"/>
      <c r="L58" s="288"/>
      <c r="M58" s="127"/>
    </row>
    <row r="59" spans="2:13" ht="13.5" thickBot="1">
      <c r="B59" s="21" t="s">
        <v>160</v>
      </c>
      <c r="C59" s="53">
        <v>18</v>
      </c>
      <c r="D59" s="15" t="s">
        <v>17</v>
      </c>
      <c r="E59" s="15"/>
      <c r="F59" s="70" t="s">
        <v>6</v>
      </c>
      <c r="G59" s="18">
        <f>G57*12</f>
        <v>120</v>
      </c>
      <c r="H59" s="354"/>
      <c r="I59" s="355"/>
      <c r="J59" s="356"/>
      <c r="K59" s="356"/>
      <c r="L59" s="288"/>
      <c r="M59" s="127"/>
    </row>
    <row r="60" spans="2:13">
      <c r="B60" s="39" t="s">
        <v>365</v>
      </c>
      <c r="C60" s="53">
        <v>120</v>
      </c>
      <c r="D60" s="15" t="s">
        <v>39</v>
      </c>
      <c r="E60" s="15"/>
      <c r="F60" s="15"/>
      <c r="G60" s="15"/>
      <c r="H60" s="354"/>
      <c r="I60" s="355"/>
      <c r="J60" s="356"/>
      <c r="K60" s="356"/>
      <c r="L60" s="288"/>
      <c r="M60" s="127"/>
    </row>
    <row r="61" spans="2:13">
      <c r="B61" s="21" t="s">
        <v>38</v>
      </c>
      <c r="C61" s="53" t="s">
        <v>373</v>
      </c>
      <c r="D61" s="15" t="s">
        <v>22</v>
      </c>
      <c r="E61" s="15"/>
      <c r="F61" s="15"/>
      <c r="G61" s="15"/>
      <c r="H61" s="354"/>
      <c r="I61" s="355"/>
      <c r="J61" s="356"/>
      <c r="K61" s="356"/>
      <c r="L61" s="288"/>
      <c r="M61" s="127"/>
    </row>
    <row r="62" spans="2:13">
      <c r="B62" s="21" t="s">
        <v>31</v>
      </c>
      <c r="C62" s="53">
        <v>72</v>
      </c>
      <c r="D62" s="15" t="s">
        <v>55</v>
      </c>
      <c r="E62" s="15"/>
      <c r="F62" s="15"/>
      <c r="G62" s="15"/>
      <c r="H62" s="354"/>
      <c r="I62" s="355"/>
      <c r="J62" s="356"/>
      <c r="K62" s="356"/>
      <c r="L62" s="288"/>
      <c r="M62" s="127"/>
    </row>
    <row r="63" spans="2:13">
      <c r="B63" s="21" t="s">
        <v>12</v>
      </c>
      <c r="C63" s="258">
        <v>97.4</v>
      </c>
      <c r="D63" s="24" t="s">
        <v>13</v>
      </c>
      <c r="E63" s="15"/>
      <c r="F63" s="15"/>
      <c r="G63" s="15"/>
      <c r="H63" s="354"/>
      <c r="I63" s="355"/>
      <c r="J63" s="357"/>
      <c r="K63" s="357"/>
      <c r="L63" s="288"/>
      <c r="M63" s="127"/>
    </row>
    <row r="64" spans="2:13">
      <c r="B64" s="21" t="s">
        <v>175</v>
      </c>
      <c r="C64" s="53">
        <v>597</v>
      </c>
      <c r="D64" s="15" t="s">
        <v>27</v>
      </c>
      <c r="E64" s="15"/>
      <c r="F64" s="15"/>
      <c r="G64" s="15"/>
      <c r="H64" s="354"/>
      <c r="I64" s="355"/>
      <c r="J64" s="356"/>
      <c r="K64" s="356"/>
      <c r="L64" s="288"/>
      <c r="M64" s="127"/>
    </row>
    <row r="65" spans="2:13">
      <c r="B65" s="21" t="s">
        <v>28</v>
      </c>
      <c r="C65" s="53">
        <v>29000000</v>
      </c>
      <c r="D65" s="15" t="s">
        <v>15</v>
      </c>
      <c r="E65" s="15"/>
      <c r="F65" s="15"/>
      <c r="G65" s="15"/>
      <c r="H65" s="354"/>
      <c r="I65" s="355"/>
      <c r="J65" s="356"/>
      <c r="K65" s="356"/>
      <c r="L65" s="288"/>
      <c r="M65" s="127"/>
    </row>
    <row r="66" spans="2:13" ht="13.5" thickBot="1">
      <c r="B66" s="21" t="s">
        <v>14</v>
      </c>
      <c r="C66" s="54">
        <v>22000</v>
      </c>
      <c r="D66" s="15" t="s">
        <v>15</v>
      </c>
      <c r="E66" s="15"/>
      <c r="F66" s="15"/>
      <c r="G66" s="15"/>
      <c r="H66" s="354"/>
      <c r="I66" s="355"/>
      <c r="J66" s="356"/>
      <c r="K66" s="356"/>
      <c r="L66" s="288"/>
      <c r="M66" s="127"/>
    </row>
    <row r="67" spans="2:13">
      <c r="B67" s="21"/>
      <c r="C67" s="32" t="s">
        <v>114</v>
      </c>
      <c r="D67" s="16"/>
      <c r="E67" s="16"/>
      <c r="F67" s="16"/>
      <c r="G67" s="15"/>
      <c r="H67" s="288"/>
      <c r="I67" s="288"/>
      <c r="J67" s="356"/>
      <c r="K67" s="288"/>
      <c r="L67" s="288"/>
      <c r="M67" s="127"/>
    </row>
    <row r="68" spans="2:13">
      <c r="B68" s="21" t="s">
        <v>267</v>
      </c>
      <c r="C68" s="23" t="s">
        <v>162</v>
      </c>
      <c r="D68" s="15"/>
      <c r="E68" s="15"/>
      <c r="F68" s="15"/>
      <c r="G68" s="15"/>
      <c r="H68" s="288"/>
      <c r="I68" s="288"/>
      <c r="J68" s="288"/>
      <c r="K68" s="288"/>
      <c r="L68" s="288"/>
      <c r="M68" s="127"/>
    </row>
    <row r="69" spans="2:13">
      <c r="B69" s="19" t="s">
        <v>6</v>
      </c>
      <c r="C69" s="25">
        <f>12*C59</f>
        <v>216</v>
      </c>
      <c r="D69" s="15" t="s">
        <v>20</v>
      </c>
      <c r="E69" s="15"/>
      <c r="F69" s="15"/>
      <c r="G69" s="15"/>
      <c r="H69" s="288"/>
      <c r="I69" s="288"/>
      <c r="J69" s="288"/>
      <c r="K69" s="288"/>
      <c r="L69" s="288"/>
      <c r="M69" s="127"/>
    </row>
    <row r="70" spans="2:13">
      <c r="B70" s="36" t="s">
        <v>139</v>
      </c>
      <c r="C70" t="s">
        <v>195</v>
      </c>
      <c r="G70" s="15"/>
      <c r="H70" s="288"/>
      <c r="I70" s="288"/>
      <c r="J70" s="288"/>
      <c r="K70" s="288"/>
      <c r="L70" s="288"/>
      <c r="M70" s="127"/>
    </row>
    <row r="71" spans="2:13">
      <c r="B71" s="36" t="s">
        <v>6</v>
      </c>
      <c r="C71" s="76">
        <f>C69-C58</f>
        <v>116</v>
      </c>
      <c r="D71" t="s">
        <v>20</v>
      </c>
      <c r="G71" s="15"/>
      <c r="H71" s="288"/>
      <c r="I71" s="288"/>
      <c r="J71" s="288"/>
      <c r="K71" s="288"/>
      <c r="L71" s="288"/>
      <c r="M71" s="127"/>
    </row>
    <row r="72" spans="2:13" ht="15.75">
      <c r="B72" s="21" t="s">
        <v>276</v>
      </c>
      <c r="C72" s="23" t="s">
        <v>261</v>
      </c>
      <c r="D72" s="15"/>
      <c r="E72" s="15"/>
      <c r="F72" s="15"/>
      <c r="G72" s="15"/>
      <c r="H72" s="288"/>
      <c r="I72" s="288"/>
      <c r="J72" s="288"/>
      <c r="K72" s="288"/>
      <c r="L72" s="288"/>
      <c r="M72" s="127"/>
    </row>
    <row r="73" spans="2:13">
      <c r="B73" s="19" t="s">
        <v>6</v>
      </c>
      <c r="C73" s="25">
        <f>($C$57*$C$71 / (4*$C$69^3))*(4*$C$69^2 - $C$58*($C$69 + $C$58))</f>
        <v>2230.517769140883</v>
      </c>
      <c r="D73" s="15" t="s">
        <v>16</v>
      </c>
      <c r="E73" s="15"/>
      <c r="F73" s="15"/>
      <c r="G73" s="15"/>
      <c r="H73" s="288"/>
      <c r="I73" s="288"/>
      <c r="J73" s="288"/>
      <c r="K73" s="288"/>
      <c r="L73" s="288"/>
      <c r="M73" s="127"/>
    </row>
    <row r="74" spans="2:13" ht="15.75">
      <c r="B74" s="337" t="s">
        <v>551</v>
      </c>
      <c r="C74" s="37" t="s">
        <v>361</v>
      </c>
      <c r="D74" s="15"/>
      <c r="E74" s="15"/>
      <c r="F74" s="15"/>
      <c r="G74" s="15"/>
      <c r="H74" s="288"/>
      <c r="I74" s="288"/>
      <c r="J74" s="288"/>
      <c r="K74" s="288"/>
      <c r="L74" s="288"/>
      <c r="M74" s="127"/>
    </row>
    <row r="75" spans="2:13">
      <c r="B75" s="21" t="s">
        <v>6</v>
      </c>
      <c r="C75" s="25">
        <f>-(C57*C58 / (2*C69^3))*(2*C69^2 - C71*(C69 + C58))</f>
        <v>-1405.4799827262104</v>
      </c>
      <c r="D75" s="15" t="s">
        <v>16</v>
      </c>
      <c r="E75" s="15"/>
      <c r="F75" s="15"/>
      <c r="G75" s="15"/>
      <c r="H75" s="288"/>
      <c r="I75" s="288"/>
      <c r="J75" s="288"/>
      <c r="K75" s="288"/>
      <c r="L75" s="288"/>
      <c r="M75" s="127"/>
    </row>
    <row r="76" spans="2:13" ht="15.75">
      <c r="B76" s="21" t="s">
        <v>277</v>
      </c>
      <c r="C76" s="23" t="s">
        <v>283</v>
      </c>
      <c r="D76" s="15"/>
      <c r="E76" s="15"/>
      <c r="H76" s="288"/>
      <c r="I76" s="288"/>
      <c r="J76" s="288"/>
      <c r="K76" s="288"/>
      <c r="L76" s="288"/>
      <c r="M76" s="127"/>
    </row>
    <row r="77" spans="2:13">
      <c r="B77" s="337" t="s">
        <v>6</v>
      </c>
      <c r="C77" s="25">
        <f>(C57*C71/ (4*C69^3))*(C69 + C60)</f>
        <v>4.8344383478128332</v>
      </c>
      <c r="D77" t="s">
        <v>16</v>
      </c>
      <c r="H77" s="288"/>
      <c r="I77" s="288"/>
      <c r="J77" s="288"/>
      <c r="K77" s="288"/>
      <c r="L77" s="288"/>
      <c r="M77" s="127"/>
    </row>
    <row r="78" spans="2:13">
      <c r="B78" s="21" t="s">
        <v>268</v>
      </c>
      <c r="C78" s="23" t="s">
        <v>362</v>
      </c>
      <c r="D78" s="15"/>
      <c r="E78" s="15"/>
      <c r="F78" s="23"/>
      <c r="G78" s="15"/>
      <c r="H78" s="288"/>
      <c r="I78" s="288"/>
      <c r="J78" s="288"/>
      <c r="K78" s="288"/>
      <c r="L78" s="288"/>
      <c r="M78" s="127"/>
    </row>
    <row r="79" spans="2:13">
      <c r="B79" s="19" t="s">
        <v>6</v>
      </c>
      <c r="C79" s="25">
        <f>(C57*C58*C71 / (4*C69^3))*(4*C69^2 - C58*(C69 + C58))</f>
        <v>223051.77691408832</v>
      </c>
      <c r="D79" s="23" t="s">
        <v>21</v>
      </c>
      <c r="E79" s="15"/>
      <c r="G79" s="15"/>
      <c r="H79" s="288"/>
      <c r="I79" s="288"/>
      <c r="J79" s="288"/>
      <c r="K79" s="288"/>
      <c r="L79" s="288"/>
      <c r="M79" s="127"/>
    </row>
    <row r="80" spans="2:13">
      <c r="B80" s="21" t="s">
        <v>269</v>
      </c>
      <c r="C80" s="37" t="s">
        <v>284</v>
      </c>
      <c r="D80" s="15"/>
      <c r="E80" s="15"/>
      <c r="F80" s="23"/>
      <c r="G80" s="15"/>
      <c r="H80" s="288"/>
      <c r="I80" s="288"/>
      <c r="J80" s="288"/>
      <c r="K80" s="288"/>
      <c r="L80" s="288"/>
      <c r="M80" s="127"/>
    </row>
    <row r="81" spans="2:13">
      <c r="B81" s="21" t="s">
        <v>6</v>
      </c>
      <c r="C81" s="25">
        <f>-(C57*C58*C71 / (4*C69^2))*(C69 + C58)</f>
        <v>-98208.161865569273</v>
      </c>
      <c r="D81" s="23" t="s">
        <v>21</v>
      </c>
      <c r="E81" s="15"/>
      <c r="F81" s="25"/>
      <c r="G81" s="15"/>
      <c r="H81" s="288"/>
      <c r="I81" s="288"/>
      <c r="J81" s="288"/>
      <c r="K81" s="288"/>
      <c r="L81" s="288"/>
      <c r="M81" s="127"/>
    </row>
    <row r="82" spans="2:13">
      <c r="B82" s="337" t="s">
        <v>555</v>
      </c>
      <c r="C82" s="350" t="s">
        <v>47</v>
      </c>
      <c r="D82" s="15"/>
      <c r="E82" s="15"/>
      <c r="F82" s="15"/>
      <c r="G82" s="15"/>
      <c r="H82" s="288"/>
      <c r="I82" s="288"/>
      <c r="J82" s="288"/>
      <c r="K82" s="288"/>
      <c r="L82" s="288"/>
      <c r="M82" s="127"/>
    </row>
    <row r="83" spans="2:13">
      <c r="B83" s="337" t="s">
        <v>6</v>
      </c>
      <c r="C83" s="351">
        <f>C73</f>
        <v>2230.517769140883</v>
      </c>
      <c r="D83" t="s">
        <v>16</v>
      </c>
      <c r="F83" s="15"/>
      <c r="H83" s="288"/>
      <c r="I83" s="288"/>
      <c r="J83" s="288"/>
      <c r="K83" s="288"/>
      <c r="L83" s="288"/>
      <c r="M83" s="127"/>
    </row>
    <row r="84" spans="2:13">
      <c r="B84" s="337" t="s">
        <v>552</v>
      </c>
      <c r="C84" s="350" t="s">
        <v>553</v>
      </c>
      <c r="D84" s="12"/>
      <c r="E84" s="12"/>
      <c r="H84" s="288"/>
      <c r="I84" s="288"/>
      <c r="J84" s="288"/>
      <c r="K84" s="288"/>
      <c r="L84" s="288"/>
      <c r="M84" s="127"/>
    </row>
    <row r="85" spans="2:13">
      <c r="B85" s="337" t="s">
        <v>6</v>
      </c>
      <c r="C85" s="351">
        <f>(C57*C58 / (4*C69^3))*(4*C69^2 + C71*(C69 + C58))</f>
        <v>2769.482230859117</v>
      </c>
      <c r="D85" t="s">
        <v>16</v>
      </c>
      <c r="J85" s="288"/>
      <c r="K85" s="288"/>
      <c r="L85" s="288"/>
      <c r="M85" s="127"/>
    </row>
    <row r="86" spans="2:13">
      <c r="J86" s="288"/>
      <c r="K86" s="288"/>
      <c r="L86" s="288"/>
      <c r="M86" s="127"/>
    </row>
    <row r="87" spans="2:13">
      <c r="B87" s="58"/>
      <c r="C87" s="33"/>
      <c r="D87" s="28"/>
      <c r="E87" s="33"/>
      <c r="H87" s="288"/>
      <c r="I87" s="288"/>
      <c r="J87" s="288"/>
      <c r="K87" s="288"/>
      <c r="L87" s="288"/>
      <c r="M87" s="127"/>
    </row>
    <row r="88" spans="2:13">
      <c r="H88" s="288"/>
      <c r="I88" s="288"/>
      <c r="J88" s="288"/>
      <c r="K88" s="288"/>
      <c r="L88" s="288"/>
      <c r="M88" s="127"/>
    </row>
    <row r="89" spans="2:13" ht="15.75">
      <c r="B89" s="103" t="s">
        <v>263</v>
      </c>
      <c r="H89" s="288"/>
      <c r="I89" s="288"/>
      <c r="J89" s="288"/>
      <c r="K89" s="288"/>
      <c r="L89" s="288"/>
      <c r="M89" s="127"/>
    </row>
    <row r="90" spans="2:13">
      <c r="B90" s="35" t="s">
        <v>74</v>
      </c>
      <c r="H90" s="288"/>
      <c r="I90" s="288"/>
      <c r="J90" s="288"/>
      <c r="K90" s="288"/>
      <c r="L90" s="288"/>
      <c r="M90" s="127"/>
    </row>
    <row r="91" spans="2:13">
      <c r="B91" s="9" t="s">
        <v>366</v>
      </c>
      <c r="H91" s="288"/>
      <c r="I91" s="288"/>
      <c r="J91" s="288"/>
      <c r="K91" s="288"/>
      <c r="L91" s="288"/>
      <c r="M91" s="127"/>
    </row>
    <row r="92" spans="2:13">
      <c r="H92" s="288"/>
      <c r="I92" s="288"/>
      <c r="J92" s="288"/>
      <c r="K92" s="288"/>
      <c r="L92" s="288"/>
      <c r="M92" s="127"/>
    </row>
    <row r="93" spans="2:13">
      <c r="H93" s="288"/>
      <c r="I93" s="288"/>
      <c r="J93" s="288"/>
      <c r="K93" s="288"/>
      <c r="L93" s="288"/>
      <c r="M93" s="127"/>
    </row>
    <row r="94" spans="2:13">
      <c r="H94" s="288"/>
      <c r="I94" s="288"/>
      <c r="J94" s="288"/>
      <c r="K94" s="288"/>
      <c r="L94" s="288"/>
      <c r="M94" s="127"/>
    </row>
    <row r="95" spans="2:13">
      <c r="H95" s="288"/>
      <c r="I95" s="288"/>
      <c r="J95" s="288"/>
      <c r="K95" s="288"/>
      <c r="L95" s="288"/>
      <c r="M95" s="127"/>
    </row>
    <row r="96" spans="2:13">
      <c r="H96" s="288"/>
      <c r="I96" s="288"/>
      <c r="J96" s="288"/>
      <c r="K96" s="288"/>
      <c r="L96" s="288"/>
      <c r="M96" s="127"/>
    </row>
    <row r="97" spans="8:13">
      <c r="H97" s="288"/>
      <c r="I97" s="288"/>
      <c r="J97" s="288"/>
      <c r="K97" s="288"/>
      <c r="L97" s="288"/>
      <c r="M97" s="127"/>
    </row>
    <row r="98" spans="8:13">
      <c r="H98" s="288"/>
      <c r="I98" s="358"/>
      <c r="J98" s="288"/>
      <c r="K98" s="288"/>
      <c r="L98" s="288"/>
      <c r="M98" s="127"/>
    </row>
    <row r="99" spans="8:13">
      <c r="H99" s="288"/>
      <c r="I99" s="358"/>
      <c r="J99" s="288"/>
      <c r="K99" s="288"/>
      <c r="L99" s="288"/>
      <c r="M99" s="127"/>
    </row>
    <row r="100" spans="8:13">
      <c r="H100" s="288"/>
      <c r="I100" s="358"/>
      <c r="J100" s="288"/>
      <c r="K100" s="288"/>
      <c r="L100" s="288"/>
      <c r="M100" s="127"/>
    </row>
    <row r="101" spans="8:13">
      <c r="H101" s="288"/>
      <c r="I101" s="358"/>
      <c r="J101" s="288"/>
      <c r="K101" s="288"/>
      <c r="L101" s="288"/>
      <c r="M101" s="127"/>
    </row>
    <row r="102" spans="8:13">
      <c r="H102" s="288"/>
      <c r="I102" s="358"/>
      <c r="J102" s="288"/>
      <c r="K102" s="288"/>
      <c r="L102" s="288"/>
      <c r="M102" s="127"/>
    </row>
    <row r="103" spans="8:13">
      <c r="H103" s="288"/>
      <c r="I103" s="358"/>
      <c r="J103" s="288"/>
      <c r="K103" s="288"/>
      <c r="L103" s="288"/>
      <c r="M103" s="127"/>
    </row>
    <row r="104" spans="8:13">
      <c r="H104" s="288"/>
      <c r="I104" s="358"/>
      <c r="J104" s="288"/>
      <c r="K104" s="288"/>
      <c r="L104" s="288"/>
      <c r="M104" s="127"/>
    </row>
    <row r="105" spans="8:13">
      <c r="H105" s="288"/>
      <c r="I105" s="358"/>
      <c r="J105" s="288"/>
      <c r="K105" s="288"/>
      <c r="L105" s="288"/>
      <c r="M105" s="127"/>
    </row>
    <row r="106" spans="8:13">
      <c r="H106" s="288"/>
      <c r="I106" s="358"/>
      <c r="J106" s="288"/>
      <c r="K106" s="288"/>
      <c r="L106" s="288"/>
      <c r="M106" s="127"/>
    </row>
    <row r="107" spans="8:13">
      <c r="H107" s="288"/>
      <c r="I107" s="358"/>
      <c r="J107" s="288"/>
      <c r="K107" s="288"/>
      <c r="L107" s="288"/>
      <c r="M107" s="127"/>
    </row>
    <row r="108" spans="8:13">
      <c r="H108" s="288"/>
      <c r="I108" s="288"/>
      <c r="J108" s="288"/>
      <c r="K108" s="288"/>
      <c r="L108" s="288"/>
      <c r="M108" s="127"/>
    </row>
    <row r="109" spans="8:13">
      <c r="H109" s="288"/>
      <c r="I109" s="288"/>
      <c r="J109" s="288"/>
      <c r="K109" s="288"/>
      <c r="L109" s="288"/>
      <c r="M109" s="127"/>
    </row>
    <row r="110" spans="8:13">
      <c r="H110" s="288"/>
      <c r="I110" s="288"/>
      <c r="J110" s="288"/>
      <c r="K110" s="288"/>
      <c r="L110" s="288"/>
      <c r="M110" s="127"/>
    </row>
    <row r="111" spans="8:13">
      <c r="H111" s="288"/>
      <c r="I111" s="288"/>
      <c r="J111" s="288"/>
      <c r="K111" s="288"/>
      <c r="L111" s="288"/>
      <c r="M111" s="127"/>
    </row>
    <row r="112" spans="8:13">
      <c r="H112" s="288"/>
      <c r="I112" s="288"/>
      <c r="J112" s="288"/>
      <c r="K112" s="288"/>
      <c r="L112" s="288"/>
      <c r="M112" s="127"/>
    </row>
    <row r="113" spans="2:13">
      <c r="H113" s="288"/>
      <c r="I113" s="288"/>
      <c r="J113" s="288"/>
      <c r="K113" s="288"/>
      <c r="L113" s="288"/>
      <c r="M113" s="127"/>
    </row>
    <row r="114" spans="2:13">
      <c r="H114" s="288"/>
      <c r="I114" s="288"/>
      <c r="J114" s="288"/>
      <c r="K114" s="288"/>
      <c r="L114" s="288"/>
      <c r="M114" s="127"/>
    </row>
    <row r="115" spans="2:13">
      <c r="H115" s="288"/>
      <c r="I115" s="288"/>
      <c r="J115" s="288"/>
      <c r="K115" s="288"/>
      <c r="L115" s="288"/>
      <c r="M115" s="127"/>
    </row>
    <row r="116" spans="2:13">
      <c r="H116" s="288"/>
      <c r="I116" s="288"/>
      <c r="J116" s="288"/>
      <c r="K116" s="288"/>
      <c r="L116" s="288"/>
      <c r="M116" s="127"/>
    </row>
    <row r="117" spans="2:13">
      <c r="H117" s="288"/>
      <c r="I117" s="288"/>
      <c r="J117" s="288"/>
      <c r="K117" s="288"/>
      <c r="L117" s="288"/>
      <c r="M117" s="127"/>
    </row>
    <row r="118" spans="2:13" ht="13.5" thickBot="1">
      <c r="F118" s="15"/>
      <c r="G118" s="15"/>
      <c r="H118" s="288"/>
      <c r="I118" s="288"/>
      <c r="J118" s="288"/>
      <c r="K118" s="288"/>
      <c r="L118" s="288"/>
      <c r="M118" s="127"/>
    </row>
    <row r="119" spans="2:13" ht="13.5" thickBot="1">
      <c r="B119" s="35" t="s">
        <v>402</v>
      </c>
      <c r="C119" s="32" t="s">
        <v>23</v>
      </c>
      <c r="D119" s="16"/>
      <c r="E119" s="16"/>
      <c r="F119" s="17" t="s">
        <v>42</v>
      </c>
      <c r="G119" s="183">
        <v>10</v>
      </c>
      <c r="H119" s="288"/>
      <c r="I119" s="288"/>
      <c r="J119" s="288"/>
      <c r="K119" s="288"/>
      <c r="L119" s="288"/>
      <c r="M119" s="127"/>
    </row>
    <row r="120" spans="2:13" ht="13.5" thickBot="1">
      <c r="B120" s="21" t="s">
        <v>267</v>
      </c>
      <c r="C120" s="23" t="s">
        <v>162</v>
      </c>
      <c r="D120" s="15"/>
      <c r="E120" s="15"/>
      <c r="F120" s="71" t="s">
        <v>43</v>
      </c>
      <c r="G120" s="18" t="s">
        <v>44</v>
      </c>
      <c r="H120" s="288"/>
      <c r="I120" s="288"/>
      <c r="J120" s="288"/>
      <c r="K120" s="288"/>
      <c r="L120" s="288"/>
      <c r="M120" s="127"/>
    </row>
    <row r="121" spans="2:13" ht="13.5" thickBot="1">
      <c r="B121" s="19" t="s">
        <v>6</v>
      </c>
      <c r="C121" s="25">
        <f>12*C59</f>
        <v>216</v>
      </c>
      <c r="D121" s="15" t="s">
        <v>20</v>
      </c>
      <c r="E121" s="15"/>
      <c r="F121" s="70" t="s">
        <v>6</v>
      </c>
      <c r="G121" s="18">
        <f>G119*12</f>
        <v>120</v>
      </c>
      <c r="H121" s="288"/>
      <c r="I121" s="288"/>
      <c r="J121" s="288"/>
      <c r="K121" s="288"/>
      <c r="L121" s="288"/>
      <c r="M121" s="127"/>
    </row>
    <row r="122" spans="2:13">
      <c r="B122" s="36" t="s">
        <v>139</v>
      </c>
      <c r="C122" t="s">
        <v>195</v>
      </c>
      <c r="G122" s="15"/>
      <c r="H122" s="288"/>
      <c r="I122" s="288"/>
      <c r="J122" s="288"/>
      <c r="K122" s="288"/>
      <c r="L122" s="288"/>
      <c r="M122" s="127"/>
    </row>
    <row r="123" spans="2:13">
      <c r="B123" s="36" t="s">
        <v>6</v>
      </c>
      <c r="C123" s="76">
        <f>C121-C58</f>
        <v>116</v>
      </c>
      <c r="D123" t="s">
        <v>20</v>
      </c>
      <c r="G123" s="15"/>
      <c r="H123" s="288"/>
      <c r="I123" s="288"/>
      <c r="J123" s="288"/>
      <c r="K123" s="288"/>
      <c r="L123" s="288"/>
      <c r="M123" s="127"/>
    </row>
    <row r="124" spans="2:13" ht="15.75">
      <c r="B124" s="21" t="s">
        <v>278</v>
      </c>
      <c r="C124" s="23" t="s">
        <v>264</v>
      </c>
      <c r="D124" s="15"/>
      <c r="E124" s="15"/>
      <c r="F124" s="15"/>
      <c r="G124" s="15"/>
      <c r="H124" s="288"/>
      <c r="I124" s="288"/>
      <c r="J124" s="288"/>
      <c r="K124" s="288"/>
      <c r="L124" s="288"/>
      <c r="M124" s="127"/>
    </row>
    <row r="125" spans="2:13">
      <c r="B125" s="19" t="s">
        <v>6</v>
      </c>
      <c r="C125" s="25">
        <f>7*(C62/12)*C121 / 16</f>
        <v>567</v>
      </c>
      <c r="D125" s="15" t="s">
        <v>16</v>
      </c>
      <c r="E125" s="15"/>
      <c r="F125" s="15"/>
      <c r="G125" s="15"/>
      <c r="H125" s="288"/>
      <c r="I125" s="288"/>
      <c r="J125" s="288"/>
      <c r="K125" s="288"/>
      <c r="L125" s="288"/>
      <c r="M125" s="127"/>
    </row>
    <row r="126" spans="2:13" ht="15.75">
      <c r="B126" s="21" t="s">
        <v>279</v>
      </c>
      <c r="C126" s="37" t="s">
        <v>282</v>
      </c>
      <c r="D126" s="15"/>
      <c r="G126" s="15"/>
      <c r="H126" s="288"/>
      <c r="I126" s="288"/>
      <c r="J126" s="288"/>
      <c r="K126" s="288"/>
      <c r="L126" s="288"/>
      <c r="M126" s="127"/>
    </row>
    <row r="127" spans="2:13">
      <c r="B127" s="21" t="s">
        <v>6</v>
      </c>
      <c r="C127" s="25">
        <f>-5*(C62/12)*C121 / 8</f>
        <v>-810</v>
      </c>
      <c r="D127" s="15" t="s">
        <v>16</v>
      </c>
      <c r="G127" s="15"/>
      <c r="H127" s="288"/>
      <c r="I127" s="288"/>
      <c r="J127" s="288"/>
      <c r="K127" s="288"/>
      <c r="L127" s="288"/>
      <c r="M127" s="127"/>
    </row>
    <row r="128" spans="2:13" ht="15.75">
      <c r="B128" s="21" t="s">
        <v>280</v>
      </c>
      <c r="C128" s="23" t="s">
        <v>265</v>
      </c>
      <c r="D128" s="15"/>
      <c r="G128" s="15"/>
      <c r="H128" s="288"/>
      <c r="I128" s="288"/>
      <c r="J128" s="288"/>
      <c r="K128" s="288"/>
      <c r="L128" s="288"/>
      <c r="M128" s="127"/>
    </row>
    <row r="129" spans="2:13">
      <c r="B129" s="21" t="s">
        <v>6</v>
      </c>
      <c r="C129" s="25">
        <f>(C62/12)*C121 / 16</f>
        <v>81</v>
      </c>
      <c r="D129" s="15" t="s">
        <v>16</v>
      </c>
      <c r="G129" s="15"/>
      <c r="H129" s="288"/>
      <c r="I129" s="288"/>
      <c r="J129" s="288"/>
      <c r="K129" s="288"/>
      <c r="L129" s="288"/>
      <c r="M129" s="127"/>
    </row>
    <row r="130" spans="2:13">
      <c r="B130" s="21" t="s">
        <v>363</v>
      </c>
      <c r="C130" s="23" t="s">
        <v>270</v>
      </c>
      <c r="H130" s="288"/>
      <c r="I130" s="288"/>
      <c r="J130" s="288"/>
      <c r="K130" s="288"/>
      <c r="L130" s="288"/>
      <c r="M130" s="127"/>
    </row>
    <row r="131" spans="2:13">
      <c r="C131" s="25">
        <f>(49*C62/12)*C121^2 / 512</f>
        <v>26790.75</v>
      </c>
      <c r="D131" s="23" t="s">
        <v>21</v>
      </c>
      <c r="H131" s="288"/>
      <c r="I131" s="288"/>
      <c r="J131" s="288"/>
      <c r="K131" s="288"/>
      <c r="L131" s="288"/>
      <c r="M131" s="127"/>
    </row>
    <row r="132" spans="2:13">
      <c r="B132" s="21" t="s">
        <v>364</v>
      </c>
      <c r="C132" s="37" t="s">
        <v>285</v>
      </c>
      <c r="E132" s="15"/>
      <c r="F132" s="15"/>
      <c r="G132" s="15"/>
      <c r="H132" s="288"/>
      <c r="I132" s="288"/>
      <c r="J132" s="288"/>
      <c r="K132" s="288"/>
      <c r="L132" s="288"/>
      <c r="M132" s="127"/>
    </row>
    <row r="133" spans="2:13">
      <c r="B133" s="21" t="s">
        <v>6</v>
      </c>
      <c r="C133" s="23">
        <f>-(C62/12)*C121^2 / 16</f>
        <v>-17496</v>
      </c>
      <c r="D133" s="23" t="s">
        <v>21</v>
      </c>
      <c r="E133" s="15"/>
      <c r="F133" s="15"/>
      <c r="G133" s="15"/>
      <c r="H133" s="288"/>
      <c r="I133" s="288"/>
      <c r="J133" s="288"/>
      <c r="K133" s="288"/>
      <c r="L133" s="288"/>
      <c r="M133" s="127"/>
    </row>
    <row r="134" spans="2:13" ht="13.5" thickBot="1">
      <c r="B134" s="21" t="s">
        <v>266</v>
      </c>
      <c r="C134" s="23" t="s">
        <v>403</v>
      </c>
      <c r="D134" s="15"/>
      <c r="E134" s="15"/>
      <c r="F134" s="23"/>
      <c r="G134" s="15"/>
      <c r="H134" s="288"/>
      <c r="I134" s="288"/>
      <c r="J134" s="288"/>
      <c r="K134" s="288"/>
      <c r="L134" s="288"/>
      <c r="M134" s="127"/>
    </row>
    <row r="135" spans="2:13" ht="13.5" thickBot="1">
      <c r="B135" s="19" t="s">
        <v>6</v>
      </c>
      <c r="C135" s="23">
        <f>((C62/12)*C60*(7*C121-8*C60))/16</f>
        <v>24840</v>
      </c>
      <c r="D135" s="23" t="s">
        <v>21</v>
      </c>
      <c r="E135" s="123" t="str">
        <f>IF(C60&lt;C58,"x &lt; a, OK","x &gt; a Not OK")</f>
        <v>x &gt; a Not OK</v>
      </c>
      <c r="F135" s="25"/>
      <c r="G135" s="15"/>
      <c r="H135" s="288"/>
      <c r="I135" s="288"/>
      <c r="J135" s="288"/>
      <c r="K135" s="288"/>
      <c r="L135" s="288"/>
      <c r="M135" s="127"/>
    </row>
    <row r="136" spans="2:13">
      <c r="B136" s="21"/>
      <c r="C136" s="23"/>
      <c r="D136" s="15"/>
      <c r="E136" s="15"/>
      <c r="F136" s="23"/>
      <c r="H136" s="288"/>
      <c r="I136" s="127"/>
      <c r="J136" s="127"/>
      <c r="K136" s="127"/>
      <c r="L136" s="288"/>
      <c r="M136" s="127"/>
    </row>
    <row r="137" spans="2:13">
      <c r="B137" s="58"/>
      <c r="C137" s="33"/>
      <c r="D137" s="28"/>
      <c r="E137" s="33"/>
      <c r="F137" s="25"/>
      <c r="H137" s="288"/>
      <c r="I137" s="127"/>
      <c r="J137" s="127"/>
      <c r="K137" s="127"/>
      <c r="L137" s="288"/>
      <c r="M137" s="127"/>
    </row>
    <row r="138" spans="2:13">
      <c r="F138" s="15"/>
      <c r="H138" s="288"/>
      <c r="I138" s="127"/>
      <c r="J138" s="127"/>
      <c r="K138" s="127"/>
      <c r="L138" s="288"/>
      <c r="M138" s="127"/>
    </row>
    <row r="139" spans="2:13" ht="15.75">
      <c r="B139" s="103" t="s">
        <v>263</v>
      </c>
      <c r="F139" s="15"/>
      <c r="H139" s="288"/>
      <c r="I139" s="127"/>
      <c r="J139" s="127"/>
      <c r="K139" s="127"/>
      <c r="L139" s="288"/>
      <c r="M139" s="127"/>
    </row>
    <row r="140" spans="2:13">
      <c r="B140" s="35" t="s">
        <v>74</v>
      </c>
      <c r="H140" s="288"/>
      <c r="I140" s="127"/>
      <c r="J140" s="127"/>
      <c r="K140" s="127"/>
      <c r="L140" s="288"/>
      <c r="M140" s="127"/>
    </row>
    <row r="141" spans="2:13">
      <c r="B141" s="9" t="s">
        <v>366</v>
      </c>
      <c r="H141" s="288"/>
      <c r="I141" s="127"/>
      <c r="J141" s="127"/>
      <c r="K141" s="127"/>
      <c r="L141" s="288"/>
      <c r="M141" s="127"/>
    </row>
    <row r="142" spans="2:13">
      <c r="H142" s="288"/>
      <c r="I142" s="127"/>
      <c r="J142" s="127"/>
      <c r="K142" s="127"/>
      <c r="L142" s="288"/>
      <c r="M142" s="127"/>
    </row>
    <row r="143" spans="2:13">
      <c r="H143" s="288"/>
      <c r="I143" s="127"/>
      <c r="J143" s="127"/>
      <c r="K143" s="127"/>
      <c r="L143" s="288"/>
      <c r="M143" s="127"/>
    </row>
    <row r="144" spans="2:13">
      <c r="H144" s="288"/>
      <c r="I144" s="127"/>
      <c r="J144" s="127"/>
      <c r="K144" s="127"/>
      <c r="L144" s="288"/>
      <c r="M144" s="127"/>
    </row>
    <row r="145" spans="8:13">
      <c r="H145" s="288"/>
      <c r="I145" s="127"/>
      <c r="J145" s="127"/>
      <c r="K145" s="127"/>
      <c r="L145" s="288"/>
      <c r="M145" s="127"/>
    </row>
    <row r="146" spans="8:13">
      <c r="H146" s="288"/>
      <c r="I146" s="127"/>
      <c r="J146" s="127"/>
      <c r="K146" s="127"/>
      <c r="L146" s="288"/>
      <c r="M146" s="127"/>
    </row>
    <row r="147" spans="8:13">
      <c r="H147" s="288"/>
      <c r="I147" s="127"/>
      <c r="J147" s="127"/>
      <c r="K147" s="127"/>
      <c r="L147" s="288"/>
      <c r="M147" s="127"/>
    </row>
    <row r="148" spans="8:13">
      <c r="H148" s="288"/>
      <c r="I148" s="127"/>
      <c r="J148" s="127"/>
      <c r="K148" s="127"/>
      <c r="L148" s="288"/>
      <c r="M148" s="127"/>
    </row>
    <row r="149" spans="8:13">
      <c r="H149" s="288"/>
      <c r="I149" s="127"/>
      <c r="J149" s="127"/>
      <c r="K149" s="127"/>
      <c r="L149" s="288"/>
      <c r="M149" s="127"/>
    </row>
    <row r="150" spans="8:13">
      <c r="H150" s="288"/>
      <c r="I150" s="127"/>
      <c r="J150" s="127"/>
      <c r="K150" s="127"/>
      <c r="L150" s="288"/>
      <c r="M150" s="127"/>
    </row>
    <row r="151" spans="8:13">
      <c r="H151" s="288"/>
      <c r="I151" s="127"/>
      <c r="J151" s="127"/>
      <c r="K151" s="127"/>
      <c r="L151" s="288"/>
      <c r="M151" s="127"/>
    </row>
    <row r="152" spans="8:13">
      <c r="H152" s="288"/>
      <c r="I152" s="127"/>
      <c r="J152" s="127"/>
      <c r="K152" s="127"/>
      <c r="L152" s="288"/>
      <c r="M152" s="127"/>
    </row>
    <row r="153" spans="8:13">
      <c r="H153" s="288"/>
      <c r="I153" s="127"/>
      <c r="J153" s="127"/>
      <c r="K153" s="127"/>
      <c r="L153" s="288"/>
      <c r="M153" s="127"/>
    </row>
    <row r="154" spans="8:13">
      <c r="H154" s="288"/>
      <c r="I154" s="127"/>
      <c r="J154" s="127"/>
      <c r="K154" s="127"/>
      <c r="L154" s="288"/>
      <c r="M154" s="127"/>
    </row>
    <row r="155" spans="8:13">
      <c r="H155" s="288"/>
      <c r="I155" s="127"/>
      <c r="J155" s="127"/>
      <c r="K155" s="127"/>
      <c r="L155" s="288"/>
      <c r="M155" s="127"/>
    </row>
    <row r="156" spans="8:13">
      <c r="H156" s="288"/>
      <c r="I156" s="127"/>
      <c r="J156" s="127"/>
      <c r="K156" s="127"/>
      <c r="L156" s="288"/>
      <c r="M156" s="127"/>
    </row>
    <row r="157" spans="8:13">
      <c r="H157" s="288"/>
      <c r="I157" s="127"/>
      <c r="J157" s="127"/>
      <c r="K157" s="127"/>
      <c r="L157" s="288"/>
      <c r="M157" s="127"/>
    </row>
    <row r="158" spans="8:13">
      <c r="H158" s="288"/>
      <c r="I158" s="127"/>
      <c r="J158" s="127"/>
      <c r="K158" s="127"/>
      <c r="L158" s="288"/>
      <c r="M158" s="127"/>
    </row>
    <row r="159" spans="8:13">
      <c r="H159" s="288"/>
      <c r="I159" s="127"/>
      <c r="J159" s="127"/>
      <c r="K159" s="127"/>
      <c r="L159" s="288"/>
      <c r="M159" s="127"/>
    </row>
    <row r="160" spans="8:13">
      <c r="H160" s="288"/>
      <c r="I160" s="127"/>
      <c r="J160" s="127"/>
      <c r="K160" s="127"/>
      <c r="L160" s="288"/>
      <c r="M160" s="127"/>
    </row>
    <row r="161" spans="2:13">
      <c r="H161" s="288"/>
      <c r="I161" s="127"/>
      <c r="J161" s="127"/>
      <c r="K161" s="127"/>
      <c r="L161" s="288"/>
      <c r="M161" s="127"/>
    </row>
    <row r="162" spans="2:13">
      <c r="H162" s="288"/>
      <c r="I162" s="127"/>
      <c r="J162" s="127"/>
      <c r="K162" s="127"/>
      <c r="L162" s="288"/>
      <c r="M162" s="127"/>
    </row>
    <row r="163" spans="2:13">
      <c r="H163" s="288"/>
      <c r="I163" s="127"/>
      <c r="J163" s="127"/>
      <c r="K163" s="127"/>
      <c r="L163" s="288"/>
      <c r="M163" s="127"/>
    </row>
    <row r="164" spans="2:13">
      <c r="H164" s="288"/>
      <c r="I164" s="127"/>
      <c r="J164" s="127"/>
      <c r="K164" s="127"/>
      <c r="L164" s="288"/>
      <c r="M164" s="127"/>
    </row>
    <row r="165" spans="2:13">
      <c r="H165" s="288"/>
      <c r="I165" s="127"/>
      <c r="J165" s="127"/>
      <c r="K165" s="127"/>
      <c r="L165" s="288"/>
      <c r="M165" s="127"/>
    </row>
    <row r="166" spans="2:13">
      <c r="H166" s="288"/>
      <c r="I166" s="127"/>
      <c r="J166" s="127"/>
      <c r="K166" s="127"/>
      <c r="L166" s="288"/>
      <c r="M166" s="127"/>
    </row>
    <row r="167" spans="2:13">
      <c r="H167" s="288"/>
      <c r="I167" s="127"/>
      <c r="J167" s="127"/>
      <c r="K167" s="127"/>
      <c r="L167" s="288"/>
      <c r="M167" s="127"/>
    </row>
    <row r="168" spans="2:13">
      <c r="H168" s="288"/>
      <c r="I168" s="127"/>
      <c r="J168" s="127"/>
      <c r="K168" s="127"/>
      <c r="L168" s="288"/>
      <c r="M168" s="127"/>
    </row>
    <row r="169" spans="2:13">
      <c r="H169" s="288"/>
      <c r="I169" s="127"/>
      <c r="J169" s="127"/>
      <c r="K169" s="127"/>
      <c r="L169" s="288"/>
      <c r="M169" s="127"/>
    </row>
    <row r="170" spans="2:13">
      <c r="H170" s="288"/>
      <c r="I170" s="127"/>
      <c r="J170" s="127"/>
      <c r="K170" s="127"/>
      <c r="L170" s="288"/>
      <c r="M170" s="127"/>
    </row>
    <row r="171" spans="2:13">
      <c r="H171" s="288"/>
      <c r="I171" s="127"/>
      <c r="J171" s="127"/>
      <c r="K171" s="127"/>
      <c r="L171" s="288"/>
      <c r="M171" s="127"/>
    </row>
    <row r="172" spans="2:13">
      <c r="H172" s="288"/>
      <c r="I172" s="127"/>
      <c r="J172" s="127"/>
      <c r="K172" s="127"/>
      <c r="L172" s="288"/>
      <c r="M172" s="127"/>
    </row>
    <row r="173" spans="2:13">
      <c r="B173" s="21"/>
      <c r="C173" s="32" t="s">
        <v>173</v>
      </c>
      <c r="D173" s="16"/>
      <c r="E173" s="16"/>
      <c r="F173" s="16"/>
      <c r="G173" s="15"/>
      <c r="H173" s="288"/>
      <c r="I173" s="127"/>
      <c r="J173" s="127"/>
      <c r="K173" s="127"/>
      <c r="L173" s="288"/>
      <c r="M173" s="127"/>
    </row>
    <row r="174" spans="2:13" ht="13.5" thickBot="1">
      <c r="B174" s="21" t="s">
        <v>290</v>
      </c>
      <c r="C174" t="s">
        <v>281</v>
      </c>
      <c r="F174" s="15"/>
      <c r="G174" s="15"/>
      <c r="H174" s="288"/>
      <c r="I174" s="127"/>
      <c r="J174" s="127"/>
      <c r="K174" s="127"/>
      <c r="L174" s="288"/>
      <c r="M174" s="127"/>
    </row>
    <row r="175" spans="2:13" ht="16.5" thickBot="1">
      <c r="B175" s="21" t="s">
        <v>287</v>
      </c>
      <c r="C175" s="23" t="s">
        <v>273</v>
      </c>
      <c r="D175" s="15"/>
      <c r="E175" s="15"/>
      <c r="F175" s="17" t="s">
        <v>42</v>
      </c>
      <c r="G175" s="183">
        <v>10</v>
      </c>
      <c r="H175" s="288"/>
      <c r="I175" s="127"/>
      <c r="J175" s="127"/>
      <c r="K175" s="127"/>
      <c r="L175" s="288"/>
      <c r="M175" s="127"/>
    </row>
    <row r="176" spans="2:13" ht="13.5" thickBot="1">
      <c r="B176" s="19" t="s">
        <v>6</v>
      </c>
      <c r="C176" s="25">
        <f>C73+C125</f>
        <v>2797.517769140883</v>
      </c>
      <c r="D176" s="15" t="s">
        <v>16</v>
      </c>
      <c r="E176" s="15"/>
      <c r="F176" s="71" t="s">
        <v>43</v>
      </c>
      <c r="G176" s="18" t="s">
        <v>44</v>
      </c>
      <c r="H176" s="288"/>
      <c r="I176" s="127"/>
      <c r="J176" s="127"/>
      <c r="K176" s="127"/>
      <c r="L176" s="288"/>
      <c r="M176" s="127"/>
    </row>
    <row r="177" spans="2:13" ht="16.5" thickBot="1">
      <c r="B177" s="21" t="s">
        <v>288</v>
      </c>
      <c r="C177" s="23" t="s">
        <v>275</v>
      </c>
      <c r="D177" s="15"/>
      <c r="F177" s="70" t="s">
        <v>6</v>
      </c>
      <c r="G177" s="18">
        <f>G175*12</f>
        <v>120</v>
      </c>
      <c r="H177" s="288"/>
      <c r="I177" s="127"/>
      <c r="J177" s="127"/>
      <c r="K177" s="127"/>
      <c r="L177" s="288"/>
      <c r="M177" s="127"/>
    </row>
    <row r="178" spans="2:13">
      <c r="B178" s="21" t="s">
        <v>6</v>
      </c>
      <c r="C178" s="25">
        <f>C75+C127</f>
        <v>-2215.4799827262104</v>
      </c>
      <c r="D178" s="15" t="s">
        <v>16</v>
      </c>
      <c r="F178" s="15"/>
      <c r="G178" s="15"/>
      <c r="H178" s="288"/>
      <c r="I178" s="127"/>
      <c r="J178" s="127"/>
      <c r="K178" s="127"/>
      <c r="L178" s="288"/>
      <c r="M178" s="127"/>
    </row>
    <row r="179" spans="2:13" ht="15.75">
      <c r="B179" s="21" t="s">
        <v>289</v>
      </c>
      <c r="C179" s="23" t="s">
        <v>274</v>
      </c>
      <c r="D179" s="15"/>
      <c r="F179" s="15"/>
      <c r="G179" s="15"/>
      <c r="H179" s="288"/>
      <c r="I179" s="127"/>
      <c r="J179" s="127"/>
      <c r="K179" s="127"/>
      <c r="L179" s="288"/>
      <c r="M179" s="127"/>
    </row>
    <row r="180" spans="2:13">
      <c r="B180" s="21" t="s">
        <v>6</v>
      </c>
      <c r="C180" s="25">
        <f>C77+C129</f>
        <v>85.834438347812835</v>
      </c>
      <c r="D180" s="15" t="s">
        <v>16</v>
      </c>
      <c r="G180" s="15"/>
      <c r="H180" s="288"/>
      <c r="I180" s="127"/>
      <c r="J180" s="127"/>
      <c r="K180" s="127"/>
      <c r="L180" s="288"/>
      <c r="M180" s="127"/>
    </row>
    <row r="181" spans="2:13">
      <c r="B181" s="21" t="s">
        <v>290</v>
      </c>
      <c r="C181" t="s">
        <v>281</v>
      </c>
      <c r="E181" s="15"/>
      <c r="G181" s="15"/>
      <c r="H181" s="288"/>
      <c r="I181" s="127"/>
      <c r="J181" s="127"/>
      <c r="K181" s="127"/>
      <c r="L181" s="288"/>
      <c r="M181" s="127"/>
    </row>
    <row r="182" spans="2:13">
      <c r="B182" s="21" t="s">
        <v>262</v>
      </c>
      <c r="C182" s="23" t="s">
        <v>271</v>
      </c>
      <c r="E182" s="15"/>
      <c r="G182" s="15"/>
      <c r="H182" s="288"/>
      <c r="I182" s="127"/>
      <c r="J182" s="127"/>
      <c r="K182" s="127"/>
      <c r="L182" s="288"/>
      <c r="M182" s="127"/>
    </row>
    <row r="183" spans="2:13">
      <c r="B183" s="21" t="s">
        <v>6</v>
      </c>
      <c r="C183" s="25">
        <f>C79+C131</f>
        <v>249842.52691408832</v>
      </c>
      <c r="D183" s="23" t="s">
        <v>21</v>
      </c>
      <c r="E183" s="15"/>
      <c r="G183" s="15"/>
      <c r="H183" s="288"/>
      <c r="I183" s="127"/>
      <c r="J183" s="127"/>
      <c r="K183" s="127"/>
      <c r="L183" s="288"/>
      <c r="M183" s="127"/>
    </row>
    <row r="184" spans="2:13">
      <c r="B184" s="21" t="s">
        <v>286</v>
      </c>
      <c r="C184" s="23" t="s">
        <v>272</v>
      </c>
      <c r="D184" s="15"/>
      <c r="E184" s="15"/>
      <c r="F184" s="15"/>
      <c r="G184" s="15"/>
      <c r="H184" s="288"/>
      <c r="I184" s="127"/>
      <c r="J184" s="127"/>
      <c r="K184" s="127"/>
      <c r="L184" s="288"/>
      <c r="M184" s="127"/>
    </row>
    <row r="185" spans="2:13">
      <c r="B185" s="21" t="s">
        <v>6</v>
      </c>
      <c r="C185" s="25">
        <f>C81+C133</f>
        <v>-115704.16186556927</v>
      </c>
      <c r="D185" s="23" t="s">
        <v>21</v>
      </c>
      <c r="E185" s="15"/>
      <c r="F185" s="15"/>
      <c r="G185" s="15"/>
      <c r="H185" s="288"/>
      <c r="I185" s="127"/>
      <c r="J185" s="127"/>
      <c r="K185" s="127"/>
      <c r="L185" s="288"/>
      <c r="M185" s="127"/>
    </row>
    <row r="186" spans="2:13">
      <c r="F186" s="23"/>
      <c r="G186" s="15"/>
      <c r="H186" s="288"/>
      <c r="I186" s="127"/>
      <c r="J186" s="127"/>
      <c r="K186" s="127"/>
      <c r="L186" s="288"/>
      <c r="M186" s="127"/>
    </row>
    <row r="187" spans="2:13">
      <c r="F187" s="25"/>
      <c r="G187" s="15"/>
      <c r="H187" s="288"/>
      <c r="I187" s="127"/>
      <c r="J187" s="127"/>
      <c r="K187" s="127"/>
      <c r="L187" s="288"/>
      <c r="M187" s="127"/>
    </row>
    <row r="188" spans="2:13" ht="15.75">
      <c r="B188" s="68" t="s">
        <v>134</v>
      </c>
      <c r="F188" s="23"/>
      <c r="H188" s="288"/>
      <c r="I188" s="127"/>
      <c r="J188" s="127"/>
      <c r="K188" s="127"/>
      <c r="L188" s="288"/>
      <c r="M188" s="127"/>
    </row>
    <row r="189" spans="2:13">
      <c r="H189" s="288"/>
      <c r="I189" s="127"/>
      <c r="J189" s="127"/>
      <c r="K189" s="127"/>
      <c r="L189" s="288"/>
      <c r="M189" s="127"/>
    </row>
    <row r="190" spans="2:13">
      <c r="H190" s="288"/>
      <c r="I190" s="127"/>
      <c r="J190" s="127"/>
      <c r="K190" s="127"/>
      <c r="L190" s="288"/>
      <c r="M190" s="127"/>
    </row>
    <row r="191" spans="2:13">
      <c r="H191" s="288"/>
      <c r="I191" s="127"/>
      <c r="J191" s="127"/>
      <c r="K191" s="127"/>
      <c r="L191" s="288"/>
      <c r="M191" s="127"/>
    </row>
    <row r="192" spans="2:13">
      <c r="H192" s="288"/>
      <c r="I192" s="127"/>
      <c r="J192" s="127"/>
      <c r="K192" s="127"/>
      <c r="L192" s="288"/>
      <c r="M192" s="127"/>
    </row>
    <row r="193" spans="8:13">
      <c r="H193" s="288"/>
      <c r="I193" s="127"/>
      <c r="J193" s="127"/>
      <c r="K193" s="127"/>
      <c r="L193" s="288"/>
      <c r="M193" s="127"/>
    </row>
    <row r="194" spans="8:13">
      <c r="H194" s="288"/>
      <c r="I194" s="127"/>
      <c r="J194" s="127"/>
      <c r="K194" s="127"/>
      <c r="L194" s="288"/>
      <c r="M194" s="127"/>
    </row>
    <row r="195" spans="8:13">
      <c r="H195" s="288"/>
      <c r="I195" s="127"/>
      <c r="J195" s="127"/>
      <c r="K195" s="127"/>
      <c r="L195" s="288"/>
      <c r="M195" s="127"/>
    </row>
    <row r="196" spans="8:13">
      <c r="H196" s="288"/>
      <c r="I196" s="127"/>
      <c r="J196" s="127"/>
      <c r="K196" s="127"/>
      <c r="L196" s="288"/>
      <c r="M196" s="127"/>
    </row>
    <row r="197" spans="8:13">
      <c r="H197" s="288"/>
      <c r="I197" s="288"/>
      <c r="J197" s="288"/>
      <c r="K197" s="288"/>
      <c r="L197" s="288"/>
      <c r="M197" s="127"/>
    </row>
    <row r="198" spans="8:13">
      <c r="H198" s="288"/>
      <c r="I198" s="288"/>
      <c r="J198" s="288"/>
      <c r="K198" s="288"/>
      <c r="L198" s="288"/>
    </row>
    <row r="199" spans="8:13">
      <c r="H199" s="288"/>
      <c r="I199" s="288"/>
      <c r="J199" s="288"/>
      <c r="K199" s="288"/>
      <c r="L199" s="288"/>
    </row>
  </sheetData>
  <sheetProtection sheet="1" objects="1" scenarios="1" formatCells="0" selectLockedCells="1"/>
  <phoneticPr fontId="16" type="noConversion"/>
  <pageMargins left="0.75" right="0.75" top="1" bottom="1" header="0.5" footer="0.5"/>
  <pageSetup orientation="portrait" verticalDpi="598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19"/>
  <sheetViews>
    <sheetView topLeftCell="A26" zoomScaleNormal="100" workbookViewId="0">
      <selection activeCell="I46" sqref="I46"/>
    </sheetView>
  </sheetViews>
  <sheetFormatPr defaultRowHeight="12.75"/>
  <cols>
    <col min="1" max="1" width="8.5703125" customWidth="1"/>
    <col min="2" max="2" width="22.28515625" customWidth="1"/>
    <col min="3" max="3" width="9.140625" customWidth="1"/>
    <col min="5" max="5" width="7.42578125" customWidth="1"/>
    <col min="6" max="6" width="13.140625" customWidth="1"/>
    <col min="7" max="7" width="17.42578125" style="74" customWidth="1"/>
  </cols>
  <sheetData>
    <row r="1" spans="1:16" ht="18">
      <c r="A1" s="335" t="s">
        <v>516</v>
      </c>
      <c r="G1"/>
      <c r="H1" s="141"/>
      <c r="I1" s="127"/>
      <c r="J1" s="127"/>
      <c r="K1" s="127"/>
      <c r="L1" s="127"/>
      <c r="M1" s="127"/>
      <c r="N1" s="127"/>
      <c r="O1" s="127"/>
      <c r="P1" s="127"/>
    </row>
    <row r="2" spans="1:16">
      <c r="A2" s="9" t="s">
        <v>515</v>
      </c>
      <c r="B2" s="9"/>
      <c r="G2"/>
      <c r="H2" s="141"/>
      <c r="I2" s="127"/>
      <c r="J2" s="127"/>
      <c r="K2" s="127"/>
      <c r="L2" s="127"/>
      <c r="M2" s="127"/>
      <c r="N2" s="127"/>
      <c r="O2" s="127"/>
      <c r="P2" s="127"/>
    </row>
    <row r="3" spans="1:16">
      <c r="G3"/>
      <c r="H3" s="141"/>
      <c r="I3" s="127"/>
      <c r="J3" s="127"/>
      <c r="K3" s="127"/>
      <c r="L3" s="127"/>
      <c r="M3" s="127"/>
      <c r="N3" s="127"/>
      <c r="O3" s="127"/>
      <c r="P3" s="127"/>
    </row>
    <row r="4" spans="1:16" ht="15">
      <c r="B4" s="334" t="s">
        <v>406</v>
      </c>
      <c r="G4"/>
      <c r="H4" s="141"/>
      <c r="I4" s="127"/>
      <c r="J4" s="127"/>
      <c r="K4" s="127"/>
      <c r="L4" s="127"/>
      <c r="M4" s="127"/>
      <c r="N4" s="127"/>
      <c r="O4" s="127"/>
      <c r="P4" s="127"/>
    </row>
    <row r="5" spans="1:16">
      <c r="A5" s="209"/>
      <c r="B5" s="74"/>
      <c r="G5"/>
      <c r="H5" s="141"/>
      <c r="I5" s="127"/>
      <c r="J5" s="127"/>
      <c r="K5" s="127"/>
      <c r="L5" s="127"/>
      <c r="M5" s="127"/>
      <c r="N5" s="127"/>
      <c r="O5" s="127"/>
      <c r="P5" s="127"/>
    </row>
    <row r="6" spans="1:16" ht="15.75">
      <c r="A6" s="6"/>
      <c r="B6" s="74"/>
      <c r="C6" s="67"/>
      <c r="D6" s="67"/>
      <c r="E6" s="67"/>
      <c r="G6"/>
      <c r="H6" s="141"/>
      <c r="I6" s="340" t="s">
        <v>530</v>
      </c>
      <c r="J6" s="288"/>
      <c r="K6" s="288"/>
      <c r="L6" s="288"/>
      <c r="M6" s="288"/>
      <c r="N6" s="288"/>
      <c r="O6" s="288"/>
      <c r="P6" s="127"/>
    </row>
    <row r="7" spans="1:16">
      <c r="A7" s="210"/>
      <c r="B7" s="74"/>
      <c r="C7" s="67"/>
      <c r="D7" s="67"/>
      <c r="E7" s="67"/>
      <c r="G7"/>
      <c r="H7" s="141"/>
      <c r="I7" s="341" t="s">
        <v>531</v>
      </c>
      <c r="J7" s="288"/>
      <c r="K7" s="288"/>
      <c r="L7" s="288"/>
      <c r="M7" s="288"/>
      <c r="N7" s="288"/>
      <c r="O7" s="288"/>
      <c r="P7" s="127"/>
    </row>
    <row r="8" spans="1:16">
      <c r="A8" s="63"/>
      <c r="B8" s="209"/>
      <c r="C8" s="67"/>
      <c r="D8" s="67"/>
      <c r="E8" s="67"/>
      <c r="G8"/>
      <c r="H8" s="141"/>
      <c r="I8" s="341" t="s">
        <v>532</v>
      </c>
      <c r="J8" s="288"/>
      <c r="K8" s="288"/>
      <c r="L8" s="288"/>
      <c r="M8" s="288"/>
      <c r="N8" s="288"/>
      <c r="O8" s="288"/>
      <c r="P8" s="127"/>
    </row>
    <row r="9" spans="1:16">
      <c r="A9" s="209"/>
      <c r="B9" s="92"/>
      <c r="C9" s="9"/>
      <c r="D9" s="67"/>
      <c r="E9" s="67"/>
      <c r="G9"/>
      <c r="H9" s="141"/>
      <c r="I9" s="342" t="s">
        <v>533</v>
      </c>
      <c r="J9" s="288"/>
      <c r="K9" s="288"/>
      <c r="L9" s="288"/>
      <c r="M9" s="288"/>
      <c r="N9" s="288"/>
      <c r="O9" s="288"/>
      <c r="P9" s="127"/>
    </row>
    <row r="10" spans="1:16">
      <c r="A10" s="210"/>
      <c r="B10" s="92"/>
      <c r="C10" s="211"/>
      <c r="D10" s="211"/>
      <c r="G10"/>
      <c r="H10" s="141"/>
      <c r="I10" s="341" t="s">
        <v>534</v>
      </c>
      <c r="J10" s="288"/>
      <c r="K10" s="288"/>
      <c r="L10" s="288"/>
      <c r="M10" s="288"/>
      <c r="N10" s="288"/>
      <c r="O10" s="288"/>
      <c r="P10" s="127"/>
    </row>
    <row r="11" spans="1:16">
      <c r="A11" s="212"/>
      <c r="B11" s="92"/>
      <c r="C11" s="211"/>
      <c r="D11" s="211"/>
      <c r="G11"/>
      <c r="H11" s="141"/>
      <c r="I11" s="341" t="s">
        <v>535</v>
      </c>
      <c r="J11" s="288"/>
      <c r="K11" s="288"/>
      <c r="L11" s="288"/>
      <c r="M11" s="288"/>
      <c r="N11" s="288"/>
      <c r="O11" s="288"/>
      <c r="P11" s="127"/>
    </row>
    <row r="12" spans="1:16">
      <c r="A12" s="210"/>
      <c r="B12" s="92"/>
      <c r="C12" s="211"/>
      <c r="D12" s="211"/>
      <c r="G12"/>
      <c r="H12" s="141"/>
      <c r="I12" s="288"/>
      <c r="J12" s="288"/>
      <c r="K12" s="288"/>
      <c r="L12" s="288"/>
      <c r="M12" s="288"/>
      <c r="N12" s="288"/>
      <c r="O12" s="288"/>
      <c r="P12" s="127"/>
    </row>
    <row r="13" spans="1:16">
      <c r="A13" s="213"/>
      <c r="C13" s="211"/>
      <c r="D13" s="211"/>
      <c r="G13"/>
      <c r="H13" s="141"/>
      <c r="I13" s="343" t="s">
        <v>540</v>
      </c>
      <c r="J13" s="288"/>
      <c r="K13" s="288"/>
      <c r="L13" s="288"/>
      <c r="M13" s="288"/>
      <c r="N13" s="288"/>
      <c r="O13" s="288"/>
      <c r="P13" s="127"/>
    </row>
    <row r="14" spans="1:16" ht="15">
      <c r="A14" s="55"/>
      <c r="G14"/>
      <c r="H14" s="141"/>
      <c r="I14" s="344" t="s">
        <v>544</v>
      </c>
      <c r="J14" s="288"/>
      <c r="K14" s="288"/>
      <c r="L14" s="288"/>
      <c r="M14" s="288"/>
      <c r="N14" s="288"/>
      <c r="O14" s="288"/>
      <c r="P14" s="127"/>
    </row>
    <row r="15" spans="1:16" ht="15">
      <c r="G15"/>
      <c r="H15" s="141"/>
      <c r="I15" s="344" t="s">
        <v>539</v>
      </c>
      <c r="J15" s="288"/>
      <c r="K15" s="288"/>
      <c r="L15" s="288"/>
      <c r="M15" s="288"/>
      <c r="N15" s="288"/>
      <c r="O15" s="288"/>
      <c r="P15" s="127"/>
    </row>
    <row r="16" spans="1:16" ht="15">
      <c r="G16"/>
      <c r="H16" s="141"/>
      <c r="I16" s="344" t="s">
        <v>543</v>
      </c>
      <c r="J16" s="288"/>
      <c r="K16" s="288"/>
      <c r="L16" s="288"/>
      <c r="M16" s="288"/>
      <c r="N16" s="288"/>
      <c r="O16" s="288"/>
      <c r="P16" s="127"/>
    </row>
    <row r="17" spans="1:16" ht="15">
      <c r="G17"/>
      <c r="H17" s="141"/>
      <c r="I17" s="344" t="s">
        <v>545</v>
      </c>
      <c r="J17" s="288"/>
      <c r="K17" s="288"/>
      <c r="L17" s="288"/>
      <c r="M17" s="288"/>
      <c r="N17" s="288"/>
      <c r="O17" s="288"/>
      <c r="P17" s="127"/>
    </row>
    <row r="18" spans="1:16">
      <c r="G18"/>
      <c r="H18" s="141"/>
      <c r="I18" s="288"/>
      <c r="J18" s="288"/>
      <c r="K18" s="288"/>
      <c r="L18" s="288"/>
      <c r="M18" s="288"/>
      <c r="N18" s="288"/>
      <c r="O18" s="288"/>
      <c r="P18" s="127"/>
    </row>
    <row r="19" spans="1:16">
      <c r="A19" s="202"/>
      <c r="G19"/>
      <c r="H19" s="141"/>
      <c r="I19" s="288"/>
      <c r="J19" s="288"/>
      <c r="K19" s="288"/>
      <c r="L19" s="288"/>
      <c r="M19" s="288"/>
      <c r="N19" s="288"/>
      <c r="O19" s="288"/>
      <c r="P19" s="127"/>
    </row>
    <row r="20" spans="1:16">
      <c r="A20" s="55"/>
      <c r="B20" s="67"/>
      <c r="C20" s="67"/>
      <c r="D20" s="67"/>
      <c r="E20" s="67"/>
      <c r="G20"/>
      <c r="H20" s="141"/>
      <c r="I20" s="288"/>
      <c r="J20" s="288"/>
      <c r="K20" s="288"/>
      <c r="L20" s="288"/>
      <c r="M20" s="288"/>
      <c r="N20" s="288"/>
      <c r="O20" s="288"/>
      <c r="P20" s="127"/>
    </row>
    <row r="21" spans="1:16" ht="13.5" thickBot="1">
      <c r="A21" s="55"/>
      <c r="B21" s="214"/>
      <c r="C21" s="2" t="s">
        <v>0</v>
      </c>
      <c r="D21" s="215"/>
      <c r="E21" s="67"/>
      <c r="G21"/>
      <c r="H21" s="141"/>
      <c r="I21" s="288"/>
      <c r="J21" s="288"/>
      <c r="K21" s="288"/>
      <c r="L21" s="288"/>
      <c r="M21" s="288"/>
      <c r="N21" s="288"/>
      <c r="O21" s="288"/>
      <c r="P21" s="127"/>
    </row>
    <row r="22" spans="1:16" ht="13.5" thickBot="1">
      <c r="B22" s="3" t="s">
        <v>407</v>
      </c>
      <c r="C22" s="4">
        <v>12</v>
      </c>
      <c r="D22" s="216" t="s">
        <v>408</v>
      </c>
      <c r="E22" s="67"/>
      <c r="G22"/>
      <c r="H22" s="141"/>
      <c r="I22" s="288"/>
      <c r="J22" s="288"/>
      <c r="K22" s="288"/>
      <c r="L22" s="288"/>
      <c r="M22" s="288"/>
      <c r="N22" s="288"/>
      <c r="O22" s="288"/>
      <c r="P22" s="127"/>
    </row>
    <row r="23" spans="1:16" ht="13.5" thickBot="1">
      <c r="A23" s="55"/>
      <c r="B23" s="3" t="s">
        <v>409</v>
      </c>
      <c r="C23" s="5">
        <v>6</v>
      </c>
      <c r="D23" s="216" t="s">
        <v>408</v>
      </c>
      <c r="G23"/>
      <c r="H23" s="141"/>
      <c r="I23" s="288"/>
      <c r="J23" s="288"/>
      <c r="K23" s="288"/>
      <c r="L23" s="288"/>
      <c r="M23" s="288"/>
      <c r="N23" s="288"/>
      <c r="O23" s="288"/>
      <c r="P23" s="127"/>
    </row>
    <row r="24" spans="1:16">
      <c r="A24" s="55"/>
      <c r="B24" s="217"/>
      <c r="C24" s="2" t="s">
        <v>3</v>
      </c>
      <c r="D24" s="215"/>
      <c r="G24"/>
      <c r="H24" s="141"/>
      <c r="I24" s="288"/>
      <c r="J24" s="288"/>
      <c r="K24" s="288"/>
      <c r="L24" s="288"/>
      <c r="M24" s="288"/>
      <c r="N24" s="288"/>
      <c r="O24" s="288"/>
      <c r="P24" s="127"/>
    </row>
    <row r="25" spans="1:16" ht="13.5" thickBot="1">
      <c r="B25" s="3" t="s">
        <v>4</v>
      </c>
      <c r="C25" s="6" t="s">
        <v>5</v>
      </c>
      <c r="D25" s="216"/>
      <c r="G25"/>
      <c r="H25" s="141"/>
      <c r="I25" s="288"/>
      <c r="J25" s="288"/>
      <c r="K25" s="288"/>
      <c r="L25" s="288"/>
      <c r="M25" s="288"/>
      <c r="N25" s="288"/>
      <c r="O25" s="288"/>
      <c r="P25" s="127"/>
    </row>
    <row r="26" spans="1:16" ht="13.5" thickBot="1">
      <c r="A26" s="218"/>
      <c r="B26" s="7" t="s">
        <v>6</v>
      </c>
      <c r="C26" s="8">
        <f>( C22^2 + C23^2 )^(1/2)</f>
        <v>13.416407864998739</v>
      </c>
      <c r="D26" s="216" t="s">
        <v>408</v>
      </c>
      <c r="G26"/>
      <c r="H26" s="141"/>
      <c r="I26" s="288"/>
      <c r="J26" s="288"/>
      <c r="K26" s="288"/>
      <c r="L26" s="288"/>
      <c r="M26" s="288"/>
      <c r="N26" s="288"/>
      <c r="O26" s="288"/>
      <c r="P26" s="127"/>
    </row>
    <row r="27" spans="1:16">
      <c r="B27" s="3" t="s">
        <v>410</v>
      </c>
      <c r="C27" s="9" t="s">
        <v>8</v>
      </c>
      <c r="D27" s="9"/>
      <c r="G27"/>
      <c r="H27" s="141"/>
      <c r="I27" s="288"/>
      <c r="J27" s="288"/>
      <c r="K27" s="288"/>
      <c r="L27" s="288"/>
      <c r="M27" s="288"/>
      <c r="N27" s="288"/>
      <c r="O27" s="288"/>
      <c r="P27" s="127"/>
    </row>
    <row r="28" spans="1:16">
      <c r="C28" s="10">
        <f>57.3 * ATAN(C23 / C22)</f>
        <v>26.567007995746188</v>
      </c>
      <c r="D28" s="9" t="s">
        <v>9</v>
      </c>
      <c r="G28"/>
      <c r="I28" s="288"/>
      <c r="J28" s="288"/>
      <c r="K28" s="288"/>
      <c r="L28" s="288"/>
      <c r="M28" s="288"/>
      <c r="N28" s="288"/>
      <c r="O28" s="288"/>
      <c r="P28" s="127"/>
    </row>
    <row r="29" spans="1:16" ht="15.75">
      <c r="A29" s="215"/>
      <c r="G29"/>
      <c r="I29" s="340" t="s">
        <v>536</v>
      </c>
      <c r="J29" s="288"/>
      <c r="K29" s="288"/>
      <c r="L29" s="288"/>
      <c r="M29" s="288"/>
      <c r="N29" s="288"/>
      <c r="O29" s="288"/>
      <c r="P29" s="127"/>
    </row>
    <row r="30" spans="1:16">
      <c r="A30" s="215"/>
      <c r="B30" s="215"/>
      <c r="C30" s="217"/>
      <c r="D30" s="3"/>
      <c r="E30" s="219"/>
      <c r="F30" s="215"/>
      <c r="G30" s="215"/>
      <c r="I30" s="341" t="s">
        <v>531</v>
      </c>
      <c r="J30" s="288"/>
      <c r="K30" s="288"/>
      <c r="L30" s="288"/>
      <c r="M30" s="288"/>
      <c r="N30" s="288"/>
      <c r="O30" s="288"/>
      <c r="P30" s="127"/>
    </row>
    <row r="31" spans="1:16">
      <c r="A31" s="215"/>
      <c r="B31" s="215"/>
      <c r="C31" s="217"/>
      <c r="D31" s="217"/>
      <c r="E31" s="2"/>
      <c r="F31" s="215"/>
      <c r="G31" s="215"/>
      <c r="I31" s="341" t="s">
        <v>537</v>
      </c>
      <c r="J31" s="288"/>
      <c r="K31" s="288"/>
      <c r="L31" s="288"/>
      <c r="M31" s="288"/>
      <c r="N31" s="288"/>
      <c r="O31" s="288"/>
      <c r="P31" s="127"/>
    </row>
    <row r="32" spans="1:16">
      <c r="A32" s="215"/>
      <c r="B32" s="215"/>
      <c r="C32" s="217"/>
      <c r="D32" s="3"/>
      <c r="E32" s="214"/>
      <c r="F32" s="215"/>
      <c r="G32" s="215"/>
      <c r="I32" s="342" t="s">
        <v>538</v>
      </c>
      <c r="J32" s="288"/>
      <c r="K32" s="288"/>
      <c r="L32" s="288"/>
      <c r="M32" s="288"/>
      <c r="N32" s="288"/>
      <c r="O32" s="288"/>
      <c r="P32" s="127"/>
    </row>
    <row r="33" spans="1:16">
      <c r="A33" s="215"/>
      <c r="B33" s="215"/>
      <c r="C33" s="217"/>
      <c r="D33" s="220"/>
      <c r="E33" s="221"/>
      <c r="F33" s="215"/>
      <c r="G33" s="215"/>
      <c r="I33" s="341" t="s">
        <v>534</v>
      </c>
      <c r="J33" s="288"/>
      <c r="K33" s="288"/>
      <c r="L33" s="288"/>
      <c r="M33" s="288"/>
      <c r="N33" s="288"/>
      <c r="O33" s="288"/>
      <c r="P33" s="127"/>
    </row>
    <row r="34" spans="1:16">
      <c r="A34" s="215"/>
      <c r="B34" s="215"/>
      <c r="C34" s="217"/>
      <c r="D34" s="3"/>
      <c r="E34" s="214"/>
      <c r="F34" s="215"/>
      <c r="G34" s="215"/>
      <c r="I34" s="341" t="s">
        <v>535</v>
      </c>
      <c r="J34" s="288"/>
      <c r="K34" s="288"/>
      <c r="L34" s="288"/>
      <c r="M34" s="288"/>
      <c r="N34" s="288"/>
      <c r="O34" s="288"/>
      <c r="P34" s="127"/>
    </row>
    <row r="35" spans="1:16">
      <c r="A35" s="215"/>
      <c r="B35" s="215"/>
      <c r="C35" s="217"/>
      <c r="D35" s="220"/>
      <c r="E35" s="222"/>
      <c r="F35" s="215"/>
      <c r="G35" s="215"/>
      <c r="I35" s="288"/>
      <c r="J35" s="288"/>
      <c r="K35" s="288"/>
      <c r="L35" s="288"/>
      <c r="M35" s="288"/>
      <c r="N35" s="288"/>
      <c r="O35" s="288"/>
      <c r="P35" s="127"/>
    </row>
    <row r="36" spans="1:16">
      <c r="A36" s="215"/>
      <c r="B36" s="215"/>
      <c r="C36" s="217"/>
      <c r="D36" s="217"/>
      <c r="E36" s="223"/>
      <c r="F36" s="215"/>
      <c r="G36" s="215"/>
      <c r="I36" s="343" t="s">
        <v>541</v>
      </c>
      <c r="J36" s="288"/>
      <c r="K36" s="288"/>
      <c r="L36" s="288"/>
      <c r="M36" s="288"/>
      <c r="N36" s="288"/>
      <c r="O36" s="288"/>
      <c r="P36" s="127"/>
    </row>
    <row r="37" spans="1:16" ht="15">
      <c r="A37" s="215"/>
      <c r="B37" s="215"/>
      <c r="C37" s="217"/>
      <c r="D37" s="215"/>
      <c r="E37" s="215"/>
      <c r="F37" s="215"/>
      <c r="G37" s="215"/>
      <c r="I37" s="344" t="s">
        <v>544</v>
      </c>
      <c r="J37" s="288"/>
      <c r="K37" s="288"/>
      <c r="L37" s="288"/>
      <c r="M37" s="288"/>
      <c r="N37" s="288"/>
      <c r="O37" s="288"/>
      <c r="P37" s="127"/>
    </row>
    <row r="38" spans="1:16" ht="15">
      <c r="A38" s="215"/>
      <c r="B38" s="215"/>
      <c r="C38" s="217"/>
      <c r="D38" s="214"/>
      <c r="E38" s="215"/>
      <c r="F38" s="215"/>
      <c r="G38" s="215"/>
      <c r="I38" s="344" t="s">
        <v>542</v>
      </c>
      <c r="J38" s="288"/>
      <c r="K38" s="288"/>
      <c r="L38" s="288"/>
      <c r="M38" s="288"/>
      <c r="N38" s="288"/>
      <c r="O38" s="288"/>
      <c r="P38" s="127"/>
    </row>
    <row r="39" spans="1:16" ht="15">
      <c r="A39" s="215"/>
      <c r="B39" s="215"/>
      <c r="C39" s="217"/>
      <c r="G39" s="215"/>
      <c r="H39" s="141"/>
      <c r="I39" s="344" t="s">
        <v>543</v>
      </c>
      <c r="J39" s="288"/>
      <c r="K39" s="288"/>
      <c r="L39" s="288"/>
      <c r="M39" s="288"/>
      <c r="N39" s="288"/>
      <c r="O39" s="288"/>
      <c r="P39" s="127"/>
    </row>
    <row r="40" spans="1:16" ht="15">
      <c r="A40" s="215"/>
      <c r="B40" s="215"/>
      <c r="C40" s="217"/>
      <c r="G40" s="215"/>
      <c r="H40" s="141"/>
      <c r="I40" s="344" t="s">
        <v>546</v>
      </c>
      <c r="J40" s="288"/>
      <c r="K40" s="288"/>
      <c r="L40" s="288"/>
      <c r="M40" s="288"/>
      <c r="N40" s="288"/>
      <c r="O40" s="288"/>
      <c r="P40" s="127"/>
    </row>
    <row r="41" spans="1:16">
      <c r="A41" s="215"/>
      <c r="B41" s="215"/>
      <c r="C41" s="224"/>
      <c r="G41" s="215"/>
      <c r="H41" s="141"/>
      <c r="I41" s="127"/>
      <c r="J41" s="127"/>
      <c r="K41" s="127"/>
      <c r="L41" s="127"/>
      <c r="M41" s="127"/>
      <c r="N41" s="127"/>
      <c r="O41" s="127"/>
      <c r="P41" s="127"/>
    </row>
    <row r="42" spans="1:16">
      <c r="A42" s="215"/>
      <c r="B42" s="215"/>
      <c r="C42" s="215"/>
      <c r="G42" s="215"/>
      <c r="H42" s="141"/>
      <c r="I42" s="127"/>
      <c r="J42" s="127"/>
      <c r="K42" s="127"/>
      <c r="L42" s="127"/>
      <c r="M42" s="127"/>
      <c r="N42" s="127"/>
      <c r="O42" s="127"/>
      <c r="P42" s="127"/>
    </row>
    <row r="43" spans="1:16">
      <c r="A43" s="215"/>
      <c r="B43" s="215"/>
      <c r="C43" s="217"/>
      <c r="G43" s="215"/>
      <c r="H43" s="141"/>
      <c r="I43" s="127"/>
      <c r="J43" s="127"/>
      <c r="K43" s="127"/>
      <c r="L43" s="127"/>
      <c r="M43" s="127"/>
      <c r="N43" s="127"/>
      <c r="O43" s="127"/>
      <c r="P43" s="127"/>
    </row>
    <row r="44" spans="1:16">
      <c r="A44" s="215"/>
      <c r="B44" s="215"/>
      <c r="C44" s="217"/>
      <c r="G44" s="215"/>
      <c r="H44" s="141"/>
      <c r="I44" s="127"/>
      <c r="J44" s="127"/>
      <c r="K44" s="127"/>
      <c r="L44" s="127"/>
      <c r="M44" s="127"/>
      <c r="N44" s="127"/>
      <c r="O44" s="127"/>
      <c r="P44" s="127"/>
    </row>
    <row r="45" spans="1:16">
      <c r="A45" s="215"/>
      <c r="B45" s="215"/>
      <c r="C45" s="217"/>
      <c r="D45" s="217"/>
      <c r="E45" s="225"/>
      <c r="F45" s="215"/>
      <c r="G45" s="215"/>
      <c r="H45" s="141"/>
      <c r="I45" s="127"/>
      <c r="J45" s="127"/>
      <c r="K45" s="127"/>
      <c r="L45" s="127"/>
      <c r="M45" s="127"/>
      <c r="N45" s="127"/>
      <c r="O45" s="127"/>
      <c r="P45" s="127"/>
    </row>
    <row r="46" spans="1:16">
      <c r="A46" s="215"/>
      <c r="B46" s="215"/>
      <c r="C46" s="217"/>
      <c r="D46" s="3"/>
      <c r="E46" s="226"/>
      <c r="F46" s="215"/>
      <c r="G46" s="215"/>
      <c r="H46" s="141"/>
      <c r="I46" s="127"/>
      <c r="J46" s="127"/>
      <c r="K46" s="127"/>
      <c r="L46" s="127"/>
      <c r="M46" s="127"/>
      <c r="N46" s="127"/>
      <c r="O46" s="127"/>
      <c r="P46" s="127"/>
    </row>
    <row r="47" spans="1:16">
      <c r="A47" s="215"/>
      <c r="B47" s="215"/>
      <c r="C47" s="217"/>
      <c r="D47" s="217"/>
      <c r="E47" s="225"/>
      <c r="F47" s="215"/>
      <c r="G47" s="215"/>
      <c r="H47" s="141"/>
      <c r="I47" s="127"/>
      <c r="J47" s="127"/>
      <c r="K47" s="127"/>
      <c r="L47" s="127"/>
      <c r="M47" s="127"/>
      <c r="N47" s="127"/>
      <c r="O47" s="127"/>
      <c r="P47" s="127"/>
    </row>
    <row r="48" spans="1:16">
      <c r="A48" s="215"/>
      <c r="B48" s="215"/>
      <c r="C48" s="217"/>
      <c r="D48" s="3"/>
      <c r="E48" s="214"/>
      <c r="F48" s="215"/>
      <c r="G48" s="215"/>
      <c r="H48" s="141"/>
      <c r="I48" s="127"/>
      <c r="J48" s="127"/>
      <c r="K48" s="127"/>
      <c r="L48" s="127"/>
      <c r="M48" s="127"/>
      <c r="N48" s="127"/>
      <c r="O48" s="127"/>
      <c r="P48" s="127"/>
    </row>
    <row r="49" spans="1:16">
      <c r="A49" s="215"/>
      <c r="B49" s="215"/>
      <c r="C49" s="217"/>
      <c r="D49" s="217" t="s">
        <v>22</v>
      </c>
      <c r="E49" s="227"/>
      <c r="F49" s="215"/>
      <c r="G49" s="215"/>
      <c r="H49" s="141"/>
      <c r="I49" s="127"/>
      <c r="J49" s="127"/>
      <c r="K49" s="127"/>
      <c r="L49" s="127"/>
      <c r="M49" s="127"/>
      <c r="N49" s="127"/>
      <c r="O49" s="127"/>
      <c r="P49" s="127"/>
    </row>
    <row r="50" spans="1:16">
      <c r="A50" s="215"/>
      <c r="B50" s="215"/>
      <c r="C50" s="217"/>
      <c r="D50" s="3"/>
      <c r="E50" s="214"/>
      <c r="F50" s="215"/>
      <c r="G50" s="215"/>
      <c r="H50" s="141"/>
      <c r="I50" s="127"/>
      <c r="J50" s="127"/>
      <c r="K50" s="127"/>
      <c r="L50" s="127"/>
      <c r="M50" s="127"/>
      <c r="N50" s="127"/>
      <c r="O50" s="127"/>
      <c r="P50" s="127"/>
    </row>
    <row r="51" spans="1:16">
      <c r="A51" s="215"/>
      <c r="B51" s="215"/>
      <c r="C51" s="215"/>
      <c r="D51" s="220"/>
      <c r="E51" s="222"/>
      <c r="F51" s="215"/>
      <c r="G51" s="215"/>
      <c r="H51" s="141"/>
      <c r="I51" s="127"/>
      <c r="J51" s="127"/>
      <c r="K51" s="127"/>
      <c r="L51" s="127"/>
      <c r="M51" s="127"/>
      <c r="N51" s="127"/>
      <c r="O51" s="127"/>
      <c r="P51" s="127"/>
    </row>
    <row r="52" spans="1:16">
      <c r="A52" s="215"/>
      <c r="B52" s="215"/>
      <c r="C52" s="215"/>
      <c r="D52" s="217"/>
      <c r="E52" s="228"/>
      <c r="F52" s="215"/>
      <c r="G52" s="215"/>
      <c r="H52" s="141"/>
      <c r="I52" s="127"/>
      <c r="J52" s="127"/>
      <c r="K52" s="127"/>
      <c r="L52" s="127"/>
      <c r="M52" s="127"/>
      <c r="N52" s="127"/>
      <c r="O52" s="127"/>
      <c r="P52" s="127"/>
    </row>
    <row r="53" spans="1:16">
      <c r="A53" s="215"/>
      <c r="B53" s="215"/>
      <c r="C53" s="215"/>
      <c r="D53" s="215"/>
      <c r="E53" s="215"/>
      <c r="F53" s="215"/>
      <c r="G53" s="215"/>
      <c r="H53" s="141"/>
      <c r="I53" s="127"/>
      <c r="J53" s="127"/>
      <c r="K53" s="127"/>
      <c r="L53" s="127"/>
      <c r="M53" s="127"/>
      <c r="N53" s="127"/>
      <c r="O53" s="127"/>
      <c r="P53" s="127"/>
    </row>
    <row r="54" spans="1:16">
      <c r="G54"/>
      <c r="H54" s="141"/>
      <c r="I54" s="127"/>
      <c r="J54" s="127"/>
      <c r="K54" s="127"/>
      <c r="L54" s="127"/>
      <c r="M54" s="127"/>
      <c r="N54" s="127"/>
      <c r="O54" s="127"/>
      <c r="P54" s="127"/>
    </row>
    <row r="55" spans="1:16">
      <c r="G55"/>
      <c r="H55" s="141"/>
      <c r="I55" s="127"/>
      <c r="J55" s="127"/>
      <c r="K55" s="127"/>
      <c r="L55" s="127"/>
      <c r="M55" s="127"/>
      <c r="N55" s="127"/>
      <c r="O55" s="127"/>
      <c r="P55" s="127"/>
    </row>
    <row r="56" spans="1:16">
      <c r="G56"/>
      <c r="H56" s="141"/>
      <c r="I56" s="127"/>
      <c r="J56" s="127"/>
      <c r="K56" s="127"/>
      <c r="L56" s="127"/>
      <c r="M56" s="127"/>
      <c r="N56" s="127"/>
      <c r="O56" s="127"/>
      <c r="P56" s="127"/>
    </row>
    <row r="57" spans="1:16">
      <c r="G57"/>
      <c r="H57" s="141"/>
      <c r="I57" s="127"/>
      <c r="J57" s="127"/>
      <c r="K57" s="127"/>
      <c r="L57" s="127"/>
      <c r="M57" s="127"/>
      <c r="N57" s="127"/>
      <c r="O57" s="127"/>
      <c r="P57" s="127"/>
    </row>
    <row r="58" spans="1:16">
      <c r="G58"/>
      <c r="H58" s="141"/>
      <c r="I58" s="127"/>
      <c r="J58" s="127"/>
      <c r="K58" s="127"/>
      <c r="L58" s="127"/>
      <c r="M58" s="127"/>
      <c r="N58" s="127"/>
      <c r="O58" s="127"/>
      <c r="P58" s="127"/>
    </row>
    <row r="59" spans="1:16">
      <c r="G59"/>
      <c r="H59" s="141"/>
      <c r="I59" s="127"/>
      <c r="J59" s="127"/>
      <c r="K59" s="127"/>
      <c r="L59" s="127"/>
      <c r="M59" s="127"/>
      <c r="N59" s="127"/>
      <c r="O59" s="127"/>
      <c r="P59" s="127"/>
    </row>
    <row r="60" spans="1:16">
      <c r="G60"/>
      <c r="H60" s="141"/>
      <c r="I60" s="127"/>
      <c r="J60" s="127"/>
      <c r="K60" s="127"/>
      <c r="L60" s="127"/>
      <c r="M60" s="127"/>
      <c r="N60" s="127"/>
      <c r="O60" s="127"/>
      <c r="P60" s="127"/>
    </row>
    <row r="61" spans="1:16">
      <c r="G61"/>
      <c r="H61" s="141"/>
      <c r="I61" s="127"/>
      <c r="J61" s="127"/>
      <c r="K61" s="127"/>
      <c r="L61" s="127"/>
      <c r="M61" s="127"/>
      <c r="N61" s="127"/>
      <c r="O61" s="127"/>
      <c r="P61" s="127"/>
    </row>
    <row r="62" spans="1:16">
      <c r="G62"/>
      <c r="H62" s="141"/>
      <c r="I62" s="127"/>
      <c r="J62" s="127"/>
      <c r="K62" s="127"/>
      <c r="L62" s="127"/>
      <c r="M62" s="127"/>
      <c r="N62" s="127"/>
      <c r="O62" s="127"/>
      <c r="P62" s="127"/>
    </row>
    <row r="63" spans="1:16">
      <c r="G63"/>
      <c r="H63" s="141"/>
      <c r="I63" s="127"/>
      <c r="J63" s="127"/>
      <c r="K63" s="127"/>
      <c r="L63" s="127"/>
      <c r="M63" s="127"/>
      <c r="N63" s="127"/>
      <c r="O63" s="127"/>
      <c r="P63" s="127"/>
    </row>
    <row r="64" spans="1:16">
      <c r="G64"/>
      <c r="H64" s="141"/>
      <c r="I64" s="127"/>
      <c r="J64" s="127"/>
      <c r="K64" s="127"/>
      <c r="L64" s="127"/>
      <c r="M64" s="127"/>
      <c r="N64" s="127"/>
      <c r="O64" s="127"/>
      <c r="P64" s="127"/>
    </row>
    <row r="65" spans="1:16">
      <c r="G65"/>
      <c r="H65" s="141"/>
      <c r="I65" s="127"/>
      <c r="J65" s="127"/>
      <c r="K65" s="127"/>
      <c r="L65" s="127"/>
      <c r="M65" s="127"/>
      <c r="N65" s="127"/>
      <c r="O65" s="127"/>
      <c r="P65" s="127"/>
    </row>
    <row r="66" spans="1:16">
      <c r="G66"/>
      <c r="H66" s="141"/>
      <c r="I66" s="127"/>
      <c r="J66" s="127"/>
      <c r="K66" s="127"/>
      <c r="L66" s="127"/>
      <c r="M66" s="127"/>
      <c r="N66" s="127"/>
      <c r="O66" s="127"/>
      <c r="P66" s="127"/>
    </row>
    <row r="67" spans="1:16">
      <c r="G67"/>
      <c r="H67" s="141"/>
      <c r="I67" s="127"/>
      <c r="J67" s="127"/>
      <c r="K67" s="127"/>
      <c r="L67" s="127"/>
      <c r="M67" s="127"/>
      <c r="N67" s="127"/>
      <c r="O67" s="127"/>
      <c r="P67" s="127"/>
    </row>
    <row r="68" spans="1:16">
      <c r="G68"/>
      <c r="H68" s="141"/>
      <c r="I68" s="127"/>
      <c r="J68" s="127"/>
      <c r="K68" s="127"/>
      <c r="L68" s="127"/>
      <c r="M68" s="127"/>
      <c r="N68" s="127"/>
      <c r="O68" s="127"/>
      <c r="P68" s="127"/>
    </row>
    <row r="69" spans="1:16">
      <c r="G69"/>
      <c r="H69" s="141"/>
      <c r="I69" s="127"/>
      <c r="J69" s="127"/>
      <c r="K69" s="127"/>
      <c r="L69" s="127"/>
      <c r="M69" s="127"/>
      <c r="N69" s="127"/>
      <c r="O69" s="127"/>
      <c r="P69" s="127"/>
    </row>
    <row r="70" spans="1:16">
      <c r="G70"/>
      <c r="H70" s="141"/>
      <c r="I70" s="127"/>
      <c r="J70" s="127"/>
      <c r="K70" s="127"/>
      <c r="L70" s="127"/>
      <c r="M70" s="127"/>
      <c r="N70" s="127"/>
      <c r="O70" s="127"/>
      <c r="P70" s="127"/>
    </row>
    <row r="71" spans="1:16">
      <c r="G71"/>
      <c r="H71" s="141"/>
      <c r="I71" s="127"/>
      <c r="J71" s="127"/>
      <c r="K71" s="127"/>
      <c r="L71" s="127"/>
      <c r="M71" s="127"/>
      <c r="N71" s="127"/>
      <c r="O71" s="127"/>
      <c r="P71" s="127"/>
    </row>
    <row r="72" spans="1:16">
      <c r="G72"/>
      <c r="H72" s="141"/>
      <c r="I72" s="127"/>
      <c r="J72" s="127"/>
      <c r="K72" s="127"/>
      <c r="L72" s="127"/>
      <c r="M72" s="127"/>
      <c r="N72" s="127"/>
      <c r="O72" s="127"/>
      <c r="P72" s="127"/>
    </row>
    <row r="73" spans="1:16">
      <c r="G73"/>
      <c r="H73" s="141"/>
      <c r="I73" s="127"/>
      <c r="J73" s="127"/>
      <c r="K73" s="127"/>
      <c r="L73" s="127"/>
      <c r="M73" s="127"/>
      <c r="N73" s="127"/>
      <c r="O73" s="127"/>
      <c r="P73" s="127"/>
    </row>
    <row r="74" spans="1:16">
      <c r="G74"/>
      <c r="H74" s="141"/>
      <c r="I74" s="127"/>
      <c r="J74" s="127"/>
      <c r="K74" s="127"/>
      <c r="L74" s="127"/>
      <c r="M74" s="127"/>
      <c r="N74" s="127"/>
      <c r="O74" s="127"/>
      <c r="P74" s="127"/>
    </row>
    <row r="75" spans="1:16">
      <c r="G75"/>
      <c r="H75" s="141"/>
      <c r="I75" s="127"/>
      <c r="J75" s="127"/>
      <c r="K75" s="127"/>
      <c r="L75" s="127"/>
      <c r="M75" s="127"/>
      <c r="N75" s="127"/>
      <c r="O75" s="127"/>
      <c r="P75" s="127"/>
    </row>
    <row r="76" spans="1:16">
      <c r="A76" s="79"/>
      <c r="B76" s="79"/>
      <c r="C76" s="79"/>
      <c r="D76" s="188"/>
      <c r="E76" s="208"/>
      <c r="F76" s="208"/>
      <c r="G76" s="79"/>
      <c r="H76" s="141"/>
      <c r="I76" s="127"/>
      <c r="J76" s="127"/>
      <c r="K76" s="127"/>
      <c r="L76" s="127"/>
      <c r="M76" s="127"/>
      <c r="N76" s="127"/>
      <c r="O76" s="127"/>
      <c r="P76" s="127"/>
    </row>
    <row r="77" spans="1:16">
      <c r="A77" s="79"/>
      <c r="B77" s="79"/>
      <c r="C77" s="79"/>
      <c r="D77" s="208"/>
      <c r="E77" s="229"/>
      <c r="F77" s="208"/>
      <c r="G77" s="79"/>
      <c r="H77" s="141"/>
      <c r="I77" s="127"/>
      <c r="J77" s="127"/>
      <c r="K77" s="127"/>
      <c r="L77" s="127"/>
      <c r="M77" s="127"/>
      <c r="N77" s="127"/>
      <c r="O77" s="127"/>
      <c r="P77" s="127"/>
    </row>
    <row r="78" spans="1:16">
      <c r="A78" s="79"/>
      <c r="B78" s="79"/>
      <c r="C78" s="79"/>
      <c r="D78" s="188"/>
      <c r="E78" s="208"/>
      <c r="F78" s="208"/>
      <c r="G78" s="79"/>
      <c r="H78" s="141"/>
      <c r="I78" s="127"/>
      <c r="J78" s="127"/>
      <c r="K78" s="127"/>
      <c r="L78" s="127"/>
      <c r="M78" s="127"/>
      <c r="N78" s="127"/>
      <c r="O78" s="127"/>
      <c r="P78" s="127"/>
    </row>
    <row r="79" spans="1:16">
      <c r="A79" s="79"/>
      <c r="B79" s="79"/>
      <c r="C79" s="79"/>
      <c r="D79" s="208"/>
      <c r="E79" s="229"/>
      <c r="F79" s="208"/>
      <c r="G79" s="79"/>
      <c r="H79" s="141"/>
      <c r="I79" s="127"/>
      <c r="J79" s="127"/>
      <c r="K79" s="127"/>
      <c r="L79" s="127"/>
      <c r="M79" s="127"/>
      <c r="N79" s="127"/>
      <c r="O79" s="127"/>
      <c r="P79" s="127"/>
    </row>
    <row r="80" spans="1:16">
      <c r="G80"/>
      <c r="H80" s="141"/>
      <c r="I80" s="127"/>
      <c r="J80" s="127"/>
      <c r="K80" s="127"/>
      <c r="L80" s="127"/>
      <c r="M80" s="127"/>
      <c r="N80" s="127"/>
      <c r="O80" s="127"/>
      <c r="P80" s="127"/>
    </row>
    <row r="81" spans="1:16">
      <c r="G81"/>
      <c r="H81" s="141"/>
      <c r="I81" s="127"/>
      <c r="J81" s="127"/>
      <c r="K81" s="127"/>
      <c r="L81" s="127"/>
      <c r="M81" s="127"/>
      <c r="N81" s="127"/>
      <c r="O81" s="127"/>
      <c r="P81" s="127"/>
    </row>
    <row r="82" spans="1:16">
      <c r="G82"/>
      <c r="H82" s="141"/>
      <c r="I82" s="127"/>
      <c r="J82" s="127"/>
      <c r="K82" s="127"/>
      <c r="L82" s="127"/>
      <c r="M82" s="127"/>
      <c r="N82" s="127"/>
      <c r="O82" s="127"/>
      <c r="P82" s="127"/>
    </row>
    <row r="83" spans="1:16">
      <c r="G83"/>
      <c r="H83" s="141"/>
      <c r="I83" s="127"/>
      <c r="J83" s="127"/>
      <c r="K83" s="127"/>
      <c r="L83" s="127"/>
      <c r="M83" s="127"/>
      <c r="N83" s="127"/>
      <c r="O83" s="127"/>
      <c r="P83" s="127"/>
    </row>
    <row r="84" spans="1:16" ht="13.5" thickBot="1">
      <c r="A84" s="9" t="s">
        <v>411</v>
      </c>
      <c r="C84" s="63"/>
      <c r="D84" s="179" t="s">
        <v>0</v>
      </c>
      <c r="F84" s="50" t="s">
        <v>412</v>
      </c>
      <c r="G84" s="50" t="s">
        <v>413</v>
      </c>
      <c r="H84" s="141"/>
      <c r="I84" s="127"/>
      <c r="J84" s="127"/>
      <c r="K84" s="127"/>
      <c r="L84" s="127"/>
      <c r="M84" s="127"/>
      <c r="N84" s="127"/>
      <c r="O84" s="127"/>
      <c r="P84" s="127"/>
    </row>
    <row r="85" spans="1:16" ht="15" thickBot="1">
      <c r="C85" s="63" t="s">
        <v>414</v>
      </c>
      <c r="D85" s="170">
        <v>30</v>
      </c>
      <c r="E85" t="s">
        <v>415</v>
      </c>
      <c r="F85" s="230"/>
      <c r="G85" s="230" t="s">
        <v>416</v>
      </c>
      <c r="H85" s="127"/>
      <c r="I85" s="127"/>
      <c r="J85" s="127"/>
      <c r="K85" s="127"/>
      <c r="L85" s="127"/>
      <c r="M85" s="127"/>
      <c r="N85" s="127"/>
      <c r="O85" s="127"/>
      <c r="P85" s="127"/>
    </row>
    <row r="86" spans="1:16" ht="13.5" thickBot="1">
      <c r="C86" s="63" t="s">
        <v>417</v>
      </c>
      <c r="D86" s="231">
        <v>58</v>
      </c>
      <c r="E86" t="s">
        <v>415</v>
      </c>
      <c r="F86" s="232" t="s">
        <v>418</v>
      </c>
      <c r="G86" s="232"/>
      <c r="H86" s="127"/>
      <c r="I86" s="127"/>
      <c r="J86" s="127"/>
      <c r="K86" s="127"/>
      <c r="L86" s="127"/>
      <c r="M86" s="127"/>
      <c r="N86" s="127"/>
      <c r="O86" s="127"/>
      <c r="P86" s="127"/>
    </row>
    <row r="87" spans="1:16">
      <c r="C87" s="63" t="s">
        <v>419</v>
      </c>
      <c r="D87" s="231">
        <v>36</v>
      </c>
      <c r="E87" t="s">
        <v>415</v>
      </c>
      <c r="F87" s="73" t="s">
        <v>420</v>
      </c>
      <c r="G87" s="233">
        <v>17.5</v>
      </c>
      <c r="H87" s="141"/>
      <c r="I87" s="127"/>
      <c r="J87" s="127"/>
      <c r="K87" s="127"/>
      <c r="L87" s="127"/>
      <c r="M87" s="127"/>
      <c r="N87" s="127"/>
      <c r="O87" s="127"/>
      <c r="P87" s="127"/>
    </row>
    <row r="88" spans="1:16">
      <c r="C88" s="63" t="s">
        <v>421</v>
      </c>
      <c r="D88" s="231">
        <v>6</v>
      </c>
      <c r="F88" s="73" t="s">
        <v>422</v>
      </c>
      <c r="G88" s="233">
        <v>22</v>
      </c>
      <c r="H88" s="141"/>
      <c r="I88" s="127"/>
      <c r="J88" s="127"/>
      <c r="K88" s="127"/>
      <c r="L88" s="127"/>
      <c r="M88" s="127"/>
      <c r="N88" s="127"/>
      <c r="O88" s="127"/>
      <c r="P88" s="127"/>
    </row>
    <row r="89" spans="1:16">
      <c r="C89" s="63" t="s">
        <v>423</v>
      </c>
      <c r="D89" s="234">
        <v>0.5</v>
      </c>
      <c r="E89" t="s">
        <v>20</v>
      </c>
      <c r="F89" s="73"/>
      <c r="G89" s="233"/>
      <c r="H89" s="141"/>
      <c r="I89" s="127"/>
      <c r="J89" s="127"/>
      <c r="K89" s="127"/>
      <c r="L89" s="127"/>
      <c r="M89" s="127"/>
      <c r="N89" s="127"/>
      <c r="O89" s="127"/>
      <c r="P89" s="127"/>
    </row>
    <row r="90" spans="1:16" ht="13.5" thickBot="1">
      <c r="C90" s="63" t="s">
        <v>424</v>
      </c>
      <c r="D90" s="234">
        <v>0.625</v>
      </c>
      <c r="E90" t="s">
        <v>20</v>
      </c>
      <c r="F90" s="230" t="s">
        <v>425</v>
      </c>
      <c r="G90" s="235"/>
      <c r="H90" s="141"/>
      <c r="I90" s="127"/>
      <c r="J90" s="127"/>
      <c r="K90" s="127"/>
      <c r="L90" s="127"/>
      <c r="M90" s="127"/>
      <c r="N90" s="127"/>
      <c r="O90" s="127"/>
      <c r="P90" s="127"/>
    </row>
    <row r="91" spans="1:16">
      <c r="C91" s="63" t="s">
        <v>426</v>
      </c>
      <c r="D91" s="234">
        <v>0.375</v>
      </c>
      <c r="E91" t="s">
        <v>20</v>
      </c>
      <c r="F91" s="73" t="s">
        <v>427</v>
      </c>
      <c r="G91" s="233">
        <v>10</v>
      </c>
      <c r="H91" s="141"/>
      <c r="I91" s="127"/>
      <c r="J91" s="127"/>
      <c r="K91" s="127"/>
      <c r="L91" s="127"/>
      <c r="M91" s="127"/>
      <c r="N91" s="127"/>
      <c r="O91" s="127"/>
      <c r="P91" s="127"/>
    </row>
    <row r="92" spans="1:16" ht="14.25">
      <c r="C92" s="63" t="s">
        <v>428</v>
      </c>
      <c r="D92" s="234">
        <v>5</v>
      </c>
      <c r="E92" t="s">
        <v>20</v>
      </c>
      <c r="F92" s="73" t="s">
        <v>429</v>
      </c>
      <c r="G92" s="233">
        <v>21</v>
      </c>
      <c r="H92" s="141"/>
      <c r="I92" s="127"/>
      <c r="J92" s="127"/>
      <c r="K92" s="127"/>
      <c r="L92" s="127"/>
      <c r="M92" s="127"/>
      <c r="N92" s="127"/>
      <c r="O92" s="127"/>
      <c r="P92" s="127"/>
    </row>
    <row r="93" spans="1:16" ht="14.25">
      <c r="C93" s="63" t="s">
        <v>430</v>
      </c>
      <c r="D93" s="234">
        <v>3</v>
      </c>
      <c r="E93" t="s">
        <v>20</v>
      </c>
      <c r="F93" s="73" t="s">
        <v>431</v>
      </c>
      <c r="G93" s="233">
        <v>30</v>
      </c>
      <c r="H93" s="141"/>
      <c r="I93" s="127"/>
      <c r="J93" s="127"/>
      <c r="K93" s="127"/>
      <c r="L93" s="127"/>
      <c r="M93" s="127"/>
      <c r="N93" s="127"/>
      <c r="O93" s="127"/>
      <c r="P93" s="127"/>
    </row>
    <row r="94" spans="1:16" ht="14.25">
      <c r="C94" s="63" t="s">
        <v>432</v>
      </c>
      <c r="D94" s="234">
        <v>2</v>
      </c>
      <c r="E94" t="s">
        <v>20</v>
      </c>
      <c r="F94" s="73" t="s">
        <v>433</v>
      </c>
      <c r="G94" s="233">
        <v>28</v>
      </c>
      <c r="H94" s="141"/>
      <c r="I94" s="127"/>
      <c r="J94" s="127"/>
      <c r="K94" s="127"/>
      <c r="L94" s="127"/>
      <c r="M94" s="127"/>
      <c r="N94" s="127"/>
      <c r="O94" s="127"/>
      <c r="P94" s="127"/>
    </row>
    <row r="95" spans="1:16" ht="14.25">
      <c r="C95" s="63" t="s">
        <v>434</v>
      </c>
      <c r="D95" s="234">
        <v>3</v>
      </c>
      <c r="E95" t="s">
        <v>20</v>
      </c>
      <c r="F95" s="73" t="s">
        <v>435</v>
      </c>
      <c r="G95" s="233">
        <v>40</v>
      </c>
      <c r="H95" s="141"/>
      <c r="I95" s="127"/>
      <c r="J95" s="127"/>
      <c r="K95" s="127"/>
      <c r="L95" s="127"/>
      <c r="M95" s="127"/>
      <c r="N95" s="127"/>
      <c r="O95" s="127"/>
      <c r="P95" s="127"/>
    </row>
    <row r="96" spans="1:16">
      <c r="C96" s="63" t="s">
        <v>436</v>
      </c>
      <c r="D96" s="234">
        <v>2</v>
      </c>
      <c r="E96" t="s">
        <v>20</v>
      </c>
      <c r="F96" s="73" t="s">
        <v>437</v>
      </c>
      <c r="G96" s="233">
        <v>17.5</v>
      </c>
      <c r="H96" s="141"/>
      <c r="I96" s="127"/>
      <c r="J96" s="127"/>
      <c r="K96" s="127"/>
      <c r="L96" s="127"/>
      <c r="M96" s="127"/>
      <c r="N96" s="127"/>
      <c r="O96" s="127"/>
      <c r="P96" s="127"/>
    </row>
    <row r="97" spans="3:16" ht="13.5" thickBot="1">
      <c r="C97" s="63" t="s">
        <v>438</v>
      </c>
      <c r="D97" s="236">
        <v>3</v>
      </c>
      <c r="E97" t="s">
        <v>20</v>
      </c>
      <c r="F97" s="237" t="s">
        <v>439</v>
      </c>
      <c r="G97" s="235">
        <v>22</v>
      </c>
      <c r="H97" s="141"/>
      <c r="I97" s="127"/>
      <c r="J97" s="127"/>
      <c r="K97" s="127"/>
      <c r="L97" s="127"/>
      <c r="M97" s="127"/>
      <c r="N97" s="127"/>
      <c r="O97" s="127"/>
      <c r="P97" s="127"/>
    </row>
    <row r="98" spans="3:16">
      <c r="C98" s="63"/>
      <c r="D98" s="179" t="s">
        <v>440</v>
      </c>
      <c r="G98"/>
      <c r="H98" s="141"/>
      <c r="I98" s="127"/>
      <c r="J98" s="127"/>
      <c r="K98" s="127"/>
      <c r="L98" s="127"/>
      <c r="M98" s="127"/>
      <c r="N98" s="127"/>
      <c r="O98" s="127"/>
      <c r="P98" s="127"/>
    </row>
    <row r="99" spans="3:16">
      <c r="C99" s="63"/>
      <c r="D99" s="179" t="s">
        <v>441</v>
      </c>
      <c r="G99"/>
      <c r="H99" s="141"/>
      <c r="I99" s="127"/>
      <c r="J99" s="127"/>
      <c r="K99" s="127"/>
      <c r="L99" s="127"/>
      <c r="M99" s="127"/>
      <c r="N99" s="127"/>
      <c r="O99" s="127"/>
      <c r="P99" s="127"/>
    </row>
    <row r="100" spans="3:16">
      <c r="C100" s="57" t="s">
        <v>442</v>
      </c>
      <c r="D100" s="9" t="s">
        <v>443</v>
      </c>
      <c r="E100" s="9"/>
      <c r="G100"/>
      <c r="H100" s="141"/>
      <c r="I100" s="127"/>
      <c r="J100" s="127"/>
      <c r="K100" s="127"/>
      <c r="L100" s="127"/>
      <c r="M100" s="127"/>
      <c r="N100" s="127"/>
      <c r="O100" s="127"/>
      <c r="P100" s="127"/>
    </row>
    <row r="101" spans="3:16">
      <c r="C101" s="57"/>
      <c r="D101" s="35">
        <f>0.5*D86</f>
        <v>29</v>
      </c>
      <c r="E101" s="9" t="s">
        <v>415</v>
      </c>
      <c r="G101"/>
      <c r="H101" s="141"/>
      <c r="I101" s="127"/>
      <c r="J101" s="127"/>
      <c r="K101" s="127"/>
      <c r="L101" s="127"/>
      <c r="M101" s="127"/>
      <c r="N101" s="127"/>
      <c r="O101" s="127"/>
      <c r="P101" s="127"/>
    </row>
    <row r="102" spans="3:16">
      <c r="C102" s="57" t="s">
        <v>444</v>
      </c>
      <c r="D102" s="9" t="s">
        <v>445</v>
      </c>
      <c r="E102" s="9"/>
      <c r="G102"/>
      <c r="H102" s="141"/>
      <c r="I102" s="127"/>
      <c r="J102" s="127"/>
      <c r="K102" s="127"/>
      <c r="L102" s="127"/>
      <c r="M102" s="127"/>
      <c r="N102" s="127"/>
      <c r="O102" s="127"/>
      <c r="P102" s="127"/>
    </row>
    <row r="103" spans="3:16">
      <c r="C103" s="57"/>
      <c r="D103" s="35">
        <f>0.6*D87</f>
        <v>21.599999999999998</v>
      </c>
      <c r="E103" s="9" t="s">
        <v>415</v>
      </c>
      <c r="G103"/>
      <c r="H103" s="141"/>
      <c r="I103" s="127"/>
      <c r="J103" s="127"/>
      <c r="K103" s="127"/>
      <c r="L103" s="127"/>
      <c r="M103" s="127"/>
      <c r="N103" s="127"/>
      <c r="O103" s="127"/>
      <c r="P103" s="127"/>
    </row>
    <row r="104" spans="3:16">
      <c r="C104" s="57" t="s">
        <v>446</v>
      </c>
      <c r="D104" s="9" t="s">
        <v>447</v>
      </c>
      <c r="E104" s="9"/>
      <c r="G104"/>
      <c r="H104" s="141"/>
      <c r="I104" s="127"/>
      <c r="J104" s="127"/>
      <c r="K104" s="127"/>
      <c r="L104" s="127"/>
      <c r="M104" s="127"/>
      <c r="N104" s="127"/>
      <c r="O104" s="127"/>
      <c r="P104" s="127"/>
    </row>
    <row r="105" spans="3:16">
      <c r="C105" s="9"/>
      <c r="D105" s="238">
        <f>D86 * D94 / (2 * D89)</f>
        <v>116</v>
      </c>
      <c r="E105" s="9" t="s">
        <v>415</v>
      </c>
      <c r="G105"/>
      <c r="H105" s="141"/>
      <c r="I105" s="127"/>
      <c r="J105" s="127"/>
      <c r="K105" s="127"/>
      <c r="L105" s="127"/>
      <c r="M105" s="127"/>
      <c r="N105" s="127"/>
      <c r="O105" s="127"/>
      <c r="P105" s="127"/>
    </row>
    <row r="106" spans="3:16">
      <c r="C106" s="57" t="s">
        <v>448</v>
      </c>
      <c r="D106" s="9" t="s">
        <v>449</v>
      </c>
      <c r="E106" s="9"/>
      <c r="G106"/>
      <c r="H106" s="141"/>
      <c r="I106" s="127"/>
      <c r="J106" s="127"/>
      <c r="K106" s="127"/>
      <c r="L106" s="127"/>
      <c r="M106" s="127"/>
      <c r="N106" s="127"/>
      <c r="O106" s="127"/>
      <c r="P106" s="127"/>
    </row>
    <row r="107" spans="3:16">
      <c r="C107" s="9"/>
      <c r="D107" s="238">
        <f>(D86/2)*((D97/D89)-0.5)</f>
        <v>159.5</v>
      </c>
      <c r="E107" s="9" t="s">
        <v>415</v>
      </c>
      <c r="G107"/>
      <c r="H107" s="141"/>
      <c r="I107" s="127"/>
      <c r="J107" s="127"/>
      <c r="K107" s="127"/>
      <c r="L107" s="127"/>
      <c r="M107" s="127"/>
      <c r="N107" s="127"/>
      <c r="O107" s="127"/>
      <c r="P107" s="127"/>
    </row>
    <row r="108" spans="3:16">
      <c r="C108" s="57" t="s">
        <v>450</v>
      </c>
      <c r="D108" s="9" t="s">
        <v>451</v>
      </c>
      <c r="E108" s="9"/>
      <c r="G108"/>
      <c r="H108" s="141"/>
      <c r="I108" s="127"/>
      <c r="J108" s="127"/>
      <c r="K108" s="127"/>
      <c r="L108" s="127"/>
      <c r="M108" s="127"/>
      <c r="N108" s="127"/>
      <c r="O108" s="127"/>
      <c r="P108" s="127"/>
    </row>
    <row r="109" spans="3:16">
      <c r="C109" s="9"/>
      <c r="D109" s="238">
        <f>1.5*D86</f>
        <v>87</v>
      </c>
      <c r="E109" s="9" t="s">
        <v>415</v>
      </c>
      <c r="G109"/>
      <c r="H109" s="141"/>
      <c r="I109" s="127"/>
      <c r="J109" s="127"/>
      <c r="K109" s="127"/>
      <c r="L109" s="127"/>
      <c r="M109" s="127"/>
      <c r="N109" s="127"/>
      <c r="O109" s="127"/>
      <c r="P109" s="127"/>
    </row>
    <row r="110" spans="3:16">
      <c r="C110" s="63"/>
      <c r="D110" s="179" t="s">
        <v>452</v>
      </c>
      <c r="G110"/>
      <c r="H110" s="141"/>
      <c r="I110" s="127"/>
      <c r="J110" s="127"/>
      <c r="K110" s="127"/>
      <c r="L110" s="127"/>
      <c r="M110" s="127"/>
      <c r="N110" s="127"/>
      <c r="O110" s="127"/>
      <c r="P110" s="127"/>
    </row>
    <row r="111" spans="3:16">
      <c r="C111" s="57" t="s">
        <v>453</v>
      </c>
      <c r="D111" s="35" t="s">
        <v>454</v>
      </c>
      <c r="E111" s="9"/>
      <c r="G111"/>
      <c r="H111" s="141"/>
      <c r="I111" s="127"/>
      <c r="J111" s="127"/>
      <c r="K111" s="127"/>
      <c r="L111" s="127"/>
      <c r="M111" s="127"/>
      <c r="N111" s="127"/>
      <c r="O111" s="127"/>
      <c r="P111" s="127"/>
    </row>
    <row r="112" spans="3:16">
      <c r="C112" s="239" t="s">
        <v>6</v>
      </c>
      <c r="D112" s="240">
        <f>2*D88*D85 * 3.1416 * D89^2 / 4</f>
        <v>70.685999999999993</v>
      </c>
      <c r="E112" s="9" t="s">
        <v>408</v>
      </c>
      <c r="G112"/>
      <c r="H112" s="141"/>
      <c r="I112" s="127"/>
      <c r="J112" s="127"/>
      <c r="K112" s="127"/>
      <c r="L112" s="127"/>
      <c r="M112" s="127"/>
      <c r="N112" s="127"/>
      <c r="O112" s="127"/>
      <c r="P112" s="127"/>
    </row>
    <row r="113" spans="1:16">
      <c r="C113" s="63"/>
      <c r="D113" s="179" t="s">
        <v>455</v>
      </c>
      <c r="G113"/>
      <c r="H113" s="141"/>
      <c r="I113" s="127"/>
      <c r="J113" s="127"/>
      <c r="K113" s="127"/>
      <c r="L113" s="127"/>
      <c r="M113" s="127"/>
      <c r="N113" s="127"/>
      <c r="O113" s="127"/>
      <c r="P113" s="127"/>
    </row>
    <row r="114" spans="1:16">
      <c r="C114" s="57" t="s">
        <v>456</v>
      </c>
      <c r="D114" s="35" t="s">
        <v>457</v>
      </c>
      <c r="G114"/>
      <c r="H114" s="141"/>
      <c r="I114" s="127"/>
      <c r="J114" s="127"/>
      <c r="K114" s="127"/>
      <c r="L114" s="127"/>
      <c r="M114" s="127"/>
      <c r="N114" s="127"/>
      <c r="O114" s="127"/>
      <c r="P114" s="127"/>
    </row>
    <row r="115" spans="1:16">
      <c r="C115" s="239" t="s">
        <v>6</v>
      </c>
      <c r="D115" s="240">
        <f>2*D103 * (D92+D93-D91) * D91</f>
        <v>123.52499999999999</v>
      </c>
      <c r="E115" s="9" t="s">
        <v>408</v>
      </c>
      <c r="F115" s="9" t="s">
        <v>458</v>
      </c>
      <c r="G115"/>
      <c r="H115" s="141"/>
      <c r="I115" s="127"/>
      <c r="J115" s="127"/>
      <c r="K115" s="127"/>
      <c r="L115" s="127"/>
      <c r="M115" s="127"/>
      <c r="N115" s="127"/>
      <c r="O115" s="127"/>
      <c r="P115" s="127"/>
    </row>
    <row r="116" spans="1:16">
      <c r="C116" s="57" t="s">
        <v>459</v>
      </c>
      <c r="D116" s="35" t="s">
        <v>460</v>
      </c>
      <c r="E116" s="9"/>
      <c r="G116"/>
      <c r="H116" s="141"/>
      <c r="I116" s="127"/>
      <c r="J116" s="127"/>
      <c r="K116" s="127"/>
      <c r="L116" s="127"/>
      <c r="M116" s="127"/>
      <c r="N116" s="127"/>
      <c r="O116" s="127"/>
      <c r="P116" s="127"/>
    </row>
    <row r="117" spans="1:16">
      <c r="C117" s="63"/>
      <c r="D117" s="241">
        <f>D89+0.125</f>
        <v>0.625</v>
      </c>
      <c r="E117" s="9" t="s">
        <v>20</v>
      </c>
      <c r="G117"/>
      <c r="H117" s="141"/>
      <c r="I117" s="127"/>
      <c r="J117" s="127"/>
      <c r="K117" s="127"/>
      <c r="L117" s="127"/>
      <c r="M117" s="127"/>
      <c r="N117" s="127"/>
      <c r="O117" s="127"/>
      <c r="P117" s="127"/>
    </row>
    <row r="118" spans="1:16">
      <c r="C118" s="57" t="s">
        <v>461</v>
      </c>
      <c r="D118" s="35" t="s">
        <v>462</v>
      </c>
      <c r="G118"/>
      <c r="H118" s="251"/>
      <c r="I118" s="127"/>
      <c r="J118" s="127"/>
      <c r="K118" s="127"/>
      <c r="L118" s="127"/>
      <c r="M118" s="127"/>
      <c r="N118" s="127"/>
      <c r="O118" s="127"/>
      <c r="P118" s="127"/>
    </row>
    <row r="119" spans="1:16">
      <c r="D119" s="238">
        <f>2*(((D92+D93-D91)*D91)-(2*((D89+0.125)*D91)))</f>
        <v>4.78125</v>
      </c>
      <c r="E119" s="9" t="s">
        <v>463</v>
      </c>
      <c r="G119"/>
      <c r="H119" s="251"/>
      <c r="I119" s="127"/>
      <c r="J119" s="127"/>
      <c r="K119" s="127"/>
      <c r="L119" s="127"/>
      <c r="M119" s="127"/>
      <c r="N119" s="127"/>
      <c r="O119" s="127"/>
      <c r="P119" s="127"/>
    </row>
    <row r="120" spans="1:16" ht="13.5" thickBot="1">
      <c r="C120" s="57" t="s">
        <v>464</v>
      </c>
      <c r="D120" s="35" t="s">
        <v>465</v>
      </c>
      <c r="F120" s="9" t="s">
        <v>466</v>
      </c>
      <c r="G120"/>
      <c r="H120" s="141"/>
      <c r="I120" s="127"/>
      <c r="J120" s="127"/>
      <c r="K120" s="127"/>
      <c r="L120" s="127"/>
      <c r="M120" s="127"/>
      <c r="N120" s="127"/>
      <c r="O120" s="127"/>
      <c r="P120" s="127"/>
    </row>
    <row r="121" spans="1:16" ht="13.5" thickBot="1">
      <c r="C121" s="242" t="s">
        <v>6</v>
      </c>
      <c r="D121" s="8">
        <f>0.85*D101*D119</f>
        <v>117.85781249999999</v>
      </c>
      <c r="E121" s="9" t="s">
        <v>408</v>
      </c>
      <c r="G121"/>
      <c r="H121" s="141"/>
      <c r="I121" s="127"/>
      <c r="J121" s="127"/>
      <c r="K121" s="127"/>
      <c r="L121" s="127"/>
      <c r="M121" s="127"/>
      <c r="N121" s="127"/>
      <c r="O121" s="127"/>
      <c r="P121" s="127"/>
    </row>
    <row r="122" spans="1:16">
      <c r="C122" s="57" t="s">
        <v>467</v>
      </c>
      <c r="D122" s="35" t="s">
        <v>468</v>
      </c>
      <c r="E122" s="9"/>
      <c r="G122"/>
      <c r="H122" s="141"/>
      <c r="I122" s="127"/>
      <c r="J122" s="127"/>
      <c r="K122" s="127"/>
      <c r="L122" s="127"/>
      <c r="M122" s="127"/>
      <c r="N122" s="127"/>
      <c r="O122" s="127"/>
      <c r="P122" s="127"/>
    </row>
    <row r="123" spans="1:16">
      <c r="C123" s="239" t="s">
        <v>6</v>
      </c>
      <c r="D123" s="240">
        <f>D88 * D105 * D90 * D89</f>
        <v>217.5</v>
      </c>
      <c r="E123" s="9" t="s">
        <v>408</v>
      </c>
      <c r="F123" s="9" t="s">
        <v>469</v>
      </c>
      <c r="G123"/>
      <c r="H123" s="141"/>
      <c r="I123" s="127"/>
      <c r="J123" s="127"/>
      <c r="K123" s="127"/>
      <c r="L123" s="127"/>
      <c r="M123" s="127"/>
      <c r="N123" s="127"/>
      <c r="O123" s="127"/>
      <c r="P123" s="127"/>
    </row>
    <row r="124" spans="1:16">
      <c r="C124" s="57" t="s">
        <v>470</v>
      </c>
      <c r="D124" s="35" t="s">
        <v>471</v>
      </c>
      <c r="E124" s="9"/>
      <c r="G124"/>
      <c r="H124" s="141"/>
      <c r="I124" s="127"/>
      <c r="J124" s="127"/>
      <c r="K124" s="127"/>
      <c r="L124" s="127"/>
      <c r="M124" s="127"/>
      <c r="N124" s="127"/>
      <c r="O124" s="127"/>
      <c r="P124" s="127"/>
    </row>
    <row r="125" spans="1:16">
      <c r="C125" s="239" t="s">
        <v>6</v>
      </c>
      <c r="D125" s="240">
        <f>D88 * D107 * D90 * D89</f>
        <v>299.0625</v>
      </c>
      <c r="E125" s="9" t="s">
        <v>408</v>
      </c>
      <c r="F125" s="9" t="s">
        <v>472</v>
      </c>
      <c r="G125"/>
      <c r="H125" s="141"/>
      <c r="I125" s="127"/>
      <c r="J125" s="127"/>
      <c r="K125" s="127"/>
      <c r="L125" s="127"/>
      <c r="M125" s="127"/>
      <c r="N125" s="127"/>
      <c r="O125" s="127"/>
      <c r="P125" s="127"/>
    </row>
    <row r="126" spans="1:16">
      <c r="A126" t="s">
        <v>22</v>
      </c>
      <c r="C126" s="57" t="s">
        <v>473</v>
      </c>
      <c r="D126" s="35" t="s">
        <v>474</v>
      </c>
      <c r="E126" s="9"/>
      <c r="G126"/>
      <c r="H126" s="141"/>
      <c r="I126" s="127"/>
      <c r="J126" s="127"/>
      <c r="K126" s="127"/>
      <c r="L126" s="127"/>
      <c r="M126" s="127"/>
      <c r="N126" s="127"/>
      <c r="O126" s="127"/>
      <c r="P126" s="127"/>
    </row>
    <row r="127" spans="1:16">
      <c r="C127" s="239" t="s">
        <v>6</v>
      </c>
      <c r="D127" s="240">
        <f>D88 * D109 * D90 * D89</f>
        <v>163.125</v>
      </c>
      <c r="E127" s="9" t="s">
        <v>408</v>
      </c>
      <c r="F127" s="9" t="s">
        <v>475</v>
      </c>
      <c r="G127"/>
      <c r="H127" s="141"/>
      <c r="I127" s="127"/>
      <c r="J127" s="127"/>
      <c r="K127" s="127"/>
      <c r="L127" s="127"/>
      <c r="M127" s="127"/>
      <c r="N127" s="127"/>
      <c r="O127" s="127"/>
      <c r="P127" s="127"/>
    </row>
    <row r="128" spans="1:16">
      <c r="G128"/>
      <c r="H128" s="141"/>
      <c r="I128" s="127"/>
      <c r="J128" s="127"/>
      <c r="K128" s="127"/>
      <c r="L128" s="127"/>
      <c r="M128" s="127"/>
      <c r="N128" s="127"/>
      <c r="O128" s="127"/>
      <c r="P128" s="127"/>
    </row>
    <row r="129" spans="1:16" ht="13.5" thickBot="1">
      <c r="C129" s="63"/>
      <c r="D129" s="179" t="s">
        <v>0</v>
      </c>
      <c r="G129"/>
      <c r="H129" s="251"/>
      <c r="I129" s="127"/>
      <c r="J129" s="127"/>
      <c r="K129" s="127"/>
      <c r="L129" s="127"/>
      <c r="M129" s="127"/>
      <c r="N129" s="127"/>
      <c r="O129" s="127"/>
      <c r="P129" s="127"/>
    </row>
    <row r="130" spans="1:16">
      <c r="C130" s="39" t="s">
        <v>476</v>
      </c>
      <c r="D130" s="243">
        <v>70</v>
      </c>
      <c r="E130" s="67" t="s">
        <v>408</v>
      </c>
      <c r="G130"/>
      <c r="H130" s="252"/>
      <c r="I130" s="127"/>
      <c r="J130" s="127"/>
      <c r="K130" s="127"/>
      <c r="L130" s="127"/>
      <c r="M130" s="127"/>
      <c r="N130" s="127"/>
      <c r="O130" s="127"/>
      <c r="P130" s="127"/>
    </row>
    <row r="131" spans="1:16" ht="13.5" thickBot="1">
      <c r="C131" s="63" t="s">
        <v>477</v>
      </c>
      <c r="D131" s="244">
        <v>35</v>
      </c>
      <c r="E131" s="9" t="s">
        <v>408</v>
      </c>
      <c r="G131"/>
      <c r="H131" s="252"/>
      <c r="I131" s="127"/>
      <c r="J131" s="127"/>
      <c r="K131" s="127"/>
      <c r="L131" s="127"/>
      <c r="M131" s="127"/>
      <c r="N131" s="127"/>
      <c r="O131" s="127"/>
      <c r="P131" s="127"/>
    </row>
    <row r="132" spans="1:16">
      <c r="C132" s="63"/>
      <c r="D132" s="74"/>
      <c r="G132"/>
      <c r="H132" s="252"/>
      <c r="I132" s="127"/>
      <c r="J132" s="127"/>
      <c r="K132" s="127"/>
      <c r="L132" s="127"/>
      <c r="M132" s="127"/>
      <c r="N132" s="127"/>
      <c r="O132" s="127"/>
      <c r="P132" s="127"/>
    </row>
    <row r="133" spans="1:16">
      <c r="C133" s="63"/>
      <c r="D133" s="179" t="s">
        <v>440</v>
      </c>
      <c r="G133"/>
      <c r="H133" s="252"/>
      <c r="I133" s="127"/>
      <c r="J133" s="127"/>
      <c r="K133" s="127"/>
      <c r="L133" s="127"/>
      <c r="M133" s="127"/>
      <c r="N133" s="127"/>
      <c r="O133" s="127"/>
      <c r="P133" s="127"/>
    </row>
    <row r="134" spans="1:16">
      <c r="C134" s="57" t="s">
        <v>478</v>
      </c>
      <c r="D134" s="35" t="s">
        <v>479</v>
      </c>
      <c r="G134"/>
      <c r="H134" s="141"/>
      <c r="I134" s="127"/>
      <c r="J134" s="127"/>
      <c r="K134" s="127"/>
      <c r="L134" s="127"/>
      <c r="M134" s="127"/>
      <c r="N134" s="127"/>
      <c r="O134" s="127"/>
      <c r="P134" s="127"/>
    </row>
    <row r="135" spans="1:16">
      <c r="C135" s="239" t="s">
        <v>6</v>
      </c>
      <c r="D135" s="245">
        <f>D130 / D115</f>
        <v>0.56668690548471978</v>
      </c>
      <c r="G135"/>
      <c r="H135" s="141"/>
      <c r="I135" s="127"/>
      <c r="J135" s="127"/>
      <c r="K135" s="127"/>
      <c r="L135" s="127"/>
      <c r="M135" s="127"/>
      <c r="N135" s="127"/>
      <c r="O135" s="127"/>
      <c r="P135" s="127"/>
    </row>
    <row r="136" spans="1:16">
      <c r="C136" s="57" t="s">
        <v>306</v>
      </c>
      <c r="D136" s="35" t="s">
        <v>480</v>
      </c>
      <c r="G136"/>
      <c r="H136" s="141"/>
      <c r="I136" s="127"/>
      <c r="J136" s="127"/>
      <c r="K136" s="127"/>
      <c r="L136" s="127"/>
      <c r="M136" s="127"/>
      <c r="N136" s="127"/>
      <c r="O136" s="127"/>
      <c r="P136" s="127"/>
    </row>
    <row r="137" spans="1:16">
      <c r="C137" s="239" t="s">
        <v>6</v>
      </c>
      <c r="D137" s="238">
        <f>D130/D131</f>
        <v>2</v>
      </c>
      <c r="G137"/>
      <c r="H137" s="141"/>
      <c r="I137" s="127"/>
      <c r="J137" s="127"/>
      <c r="K137" s="127"/>
      <c r="L137" s="127"/>
      <c r="M137" s="127"/>
      <c r="N137" s="127"/>
      <c r="O137" s="127"/>
      <c r="P137" s="127"/>
    </row>
    <row r="138" spans="1:16">
      <c r="G138"/>
      <c r="H138" s="141"/>
      <c r="I138" s="127"/>
      <c r="J138" s="127"/>
      <c r="K138" s="127"/>
      <c r="L138" s="127"/>
      <c r="M138" s="127"/>
      <c r="N138" s="127"/>
      <c r="O138" s="127"/>
      <c r="P138" s="127"/>
    </row>
    <row r="139" spans="1:16" ht="18">
      <c r="A139" s="250" t="s">
        <v>488</v>
      </c>
      <c r="B139" s="247"/>
      <c r="C139" s="247"/>
      <c r="D139" s="247"/>
      <c r="E139" s="247"/>
      <c r="F139" s="247"/>
      <c r="G139" s="247"/>
      <c r="H139" s="141"/>
      <c r="I139" s="127"/>
      <c r="J139" s="127"/>
      <c r="K139" s="127"/>
      <c r="L139" s="127"/>
      <c r="M139" s="127"/>
      <c r="N139" s="127"/>
      <c r="O139" s="127"/>
      <c r="P139" s="127"/>
    </row>
    <row r="140" spans="1:16">
      <c r="B140" s="15"/>
      <c r="C140" s="15"/>
      <c r="D140" s="15"/>
      <c r="E140" s="15"/>
      <c r="F140" s="15"/>
      <c r="G140" s="15"/>
      <c r="H140" s="141"/>
      <c r="I140" s="127"/>
      <c r="J140" s="127"/>
      <c r="K140" s="127"/>
      <c r="L140" s="127"/>
      <c r="M140" s="127"/>
      <c r="N140" s="127"/>
      <c r="O140" s="127"/>
      <c r="P140" s="127"/>
    </row>
    <row r="141" spans="1:16" ht="13.5" thickBot="1">
      <c r="A141" s="248" t="s">
        <v>481</v>
      </c>
      <c r="B141" s="64"/>
      <c r="C141" s="15"/>
      <c r="D141" s="15"/>
      <c r="E141" s="15"/>
      <c r="F141" s="15"/>
      <c r="G141" s="15"/>
      <c r="H141" s="127"/>
      <c r="I141" s="127"/>
      <c r="J141" s="127"/>
      <c r="K141" s="127"/>
      <c r="L141" s="127"/>
      <c r="M141" s="127"/>
      <c r="N141" s="127"/>
      <c r="O141" s="127"/>
      <c r="P141" s="127"/>
    </row>
    <row r="142" spans="1:16" ht="13.5" thickBot="1">
      <c r="A142" s="56" t="s">
        <v>135</v>
      </c>
      <c r="B142" s="253">
        <v>1.4</v>
      </c>
      <c r="C142" s="64" t="s">
        <v>489</v>
      </c>
      <c r="D142" s="15"/>
      <c r="E142" s="15"/>
      <c r="F142" s="15"/>
      <c r="G142" s="15"/>
      <c r="H142" s="127"/>
      <c r="I142" s="127"/>
      <c r="J142" s="127"/>
      <c r="K142" s="127"/>
      <c r="L142" s="127"/>
      <c r="M142" s="127"/>
      <c r="N142" s="127"/>
      <c r="O142" s="127"/>
      <c r="P142" s="127"/>
    </row>
    <row r="143" spans="1:16">
      <c r="A143" s="56"/>
      <c r="B143" s="64"/>
      <c r="C143" s="15"/>
      <c r="D143" s="15"/>
      <c r="E143" s="15"/>
      <c r="F143" s="15"/>
      <c r="G143" s="15"/>
      <c r="H143" s="127"/>
      <c r="I143" s="127"/>
      <c r="J143" s="127"/>
      <c r="K143" s="127"/>
      <c r="L143" s="127"/>
      <c r="M143" s="127"/>
      <c r="N143" s="127"/>
      <c r="O143" s="127"/>
      <c r="P143" s="127"/>
    </row>
    <row r="144" spans="1:16">
      <c r="A144" s="56" t="s">
        <v>136</v>
      </c>
      <c r="B144" s="64" t="s">
        <v>482</v>
      </c>
      <c r="C144" s="15"/>
      <c r="D144" s="15"/>
      <c r="E144" s="15"/>
      <c r="F144" s="15"/>
      <c r="G144" s="15"/>
      <c r="H144" s="127"/>
      <c r="I144" s="127"/>
      <c r="J144" s="127"/>
      <c r="K144" s="127"/>
      <c r="L144" s="127"/>
      <c r="M144" s="127"/>
      <c r="N144" s="127"/>
      <c r="O144" s="127"/>
      <c r="P144" s="127"/>
    </row>
    <row r="145" spans="1:16">
      <c r="A145" s="56" t="s">
        <v>136</v>
      </c>
      <c r="B145" s="13">
        <f>2*B142^5 - 3*B142^2 - 5</f>
        <v>-0.12352000000000274</v>
      </c>
      <c r="C145" s="64" t="s">
        <v>490</v>
      </c>
      <c r="D145" s="15"/>
      <c r="E145" s="15"/>
      <c r="F145" s="15"/>
      <c r="G145" s="15"/>
      <c r="H145" s="127"/>
      <c r="I145" s="127"/>
      <c r="J145" s="127"/>
      <c r="K145" s="127"/>
      <c r="L145" s="127"/>
      <c r="M145" s="127"/>
      <c r="N145" s="127"/>
      <c r="O145" s="127"/>
      <c r="P145" s="127"/>
    </row>
    <row r="146" spans="1:16">
      <c r="A146" s="56"/>
      <c r="B146" s="64"/>
      <c r="C146" s="15"/>
      <c r="D146" s="15"/>
      <c r="E146" s="15"/>
      <c r="F146" s="15"/>
      <c r="G146" s="15"/>
      <c r="H146" s="127"/>
      <c r="I146" s="127"/>
      <c r="J146" s="127"/>
      <c r="K146" s="127"/>
      <c r="L146" s="127"/>
      <c r="M146" s="127"/>
      <c r="N146" s="127"/>
      <c r="O146" s="127"/>
      <c r="P146" s="127"/>
    </row>
    <row r="147" spans="1:16">
      <c r="A147" s="248" t="s">
        <v>483</v>
      </c>
      <c r="B147" s="64"/>
      <c r="C147" s="15"/>
      <c r="D147" s="15"/>
      <c r="E147" s="15"/>
      <c r="F147" s="15"/>
      <c r="G147" s="15"/>
      <c r="H147" s="127"/>
      <c r="I147" s="127"/>
      <c r="J147" s="127"/>
      <c r="K147" s="127"/>
      <c r="L147" s="127"/>
      <c r="M147" s="127"/>
      <c r="N147" s="127"/>
      <c r="O147" s="127"/>
      <c r="P147" s="127"/>
    </row>
    <row r="148" spans="1:16" ht="13.5" thickBot="1">
      <c r="A148" s="248" t="s">
        <v>484</v>
      </c>
      <c r="B148" s="15"/>
      <c r="C148" s="15"/>
      <c r="D148" s="15"/>
      <c r="E148" s="15"/>
      <c r="F148" s="15"/>
      <c r="G148" s="15"/>
      <c r="H148" s="127"/>
      <c r="I148" s="127"/>
      <c r="J148" s="127"/>
      <c r="K148" s="127"/>
      <c r="L148" s="127"/>
      <c r="M148" s="127"/>
      <c r="N148" s="127"/>
      <c r="O148" s="127"/>
      <c r="P148" s="127"/>
    </row>
    <row r="149" spans="1:16" ht="13.5" thickBot="1">
      <c r="A149" s="56" t="s">
        <v>135</v>
      </c>
      <c r="B149" s="254">
        <v>1.4040861901598141</v>
      </c>
      <c r="C149" s="15"/>
      <c r="D149" s="15"/>
      <c r="E149" s="15"/>
      <c r="F149" s="15"/>
      <c r="G149" s="15"/>
      <c r="H149" s="127"/>
      <c r="I149" s="127"/>
      <c r="J149" s="127"/>
      <c r="K149" s="127"/>
      <c r="L149" s="127"/>
      <c r="M149" s="127"/>
      <c r="N149" s="127"/>
      <c r="O149" s="127"/>
      <c r="P149" s="127"/>
    </row>
    <row r="150" spans="1:16">
      <c r="A150" s="56"/>
      <c r="B150" s="64"/>
      <c r="C150" s="15"/>
      <c r="D150" s="15"/>
      <c r="E150" s="15"/>
      <c r="F150" s="15"/>
      <c r="G150" s="15"/>
      <c r="H150" s="127"/>
      <c r="I150" s="127"/>
      <c r="J150" s="127"/>
      <c r="K150" s="127"/>
      <c r="L150" s="127"/>
      <c r="M150" s="127"/>
      <c r="N150" s="127"/>
      <c r="O150" s="127"/>
      <c r="P150" s="127"/>
    </row>
    <row r="151" spans="1:16">
      <c r="A151" s="56" t="s">
        <v>136</v>
      </c>
      <c r="B151" s="64" t="s">
        <v>482</v>
      </c>
      <c r="C151" s="15"/>
      <c r="D151" s="15"/>
      <c r="E151" s="15"/>
      <c r="F151" s="15"/>
      <c r="G151" s="15"/>
      <c r="H151" s="127"/>
      <c r="I151" s="127"/>
      <c r="J151" s="127"/>
      <c r="K151" s="127"/>
      <c r="L151" s="127"/>
      <c r="M151" s="127"/>
      <c r="N151" s="127"/>
      <c r="O151" s="127"/>
      <c r="P151" s="127"/>
    </row>
    <row r="152" spans="1:16">
      <c r="A152" s="56" t="s">
        <v>136</v>
      </c>
      <c r="B152" s="13">
        <f>2*B149^5 - 3*B149^2 - 5</f>
        <v>4.4266812437854242E-12</v>
      </c>
      <c r="C152" s="15"/>
      <c r="D152" s="15"/>
      <c r="E152" s="15"/>
      <c r="F152" s="15"/>
      <c r="G152" s="15"/>
      <c r="H152" s="127"/>
      <c r="I152" s="127"/>
      <c r="J152" s="127"/>
      <c r="K152" s="127"/>
      <c r="L152" s="127"/>
      <c r="M152" s="127"/>
      <c r="N152" s="127"/>
      <c r="O152" s="127"/>
      <c r="P152" s="127"/>
    </row>
    <row r="153" spans="1:16">
      <c r="A153" s="56"/>
      <c r="B153" s="64"/>
      <c r="C153" s="15"/>
      <c r="D153" s="15"/>
      <c r="E153" s="15"/>
      <c r="F153" s="15"/>
      <c r="G153" s="15"/>
      <c r="H153" s="127"/>
      <c r="I153" s="127"/>
      <c r="J153" s="127"/>
      <c r="K153" s="127"/>
      <c r="L153" s="127"/>
      <c r="M153" s="127"/>
      <c r="N153" s="127"/>
      <c r="O153" s="127"/>
      <c r="P153" s="127"/>
    </row>
    <row r="154" spans="1:16">
      <c r="A154" s="15"/>
      <c r="B154" s="15"/>
      <c r="C154" s="15"/>
      <c r="D154" s="15"/>
      <c r="E154" s="15"/>
      <c r="F154" s="15"/>
      <c r="G154" s="15"/>
      <c r="H154" s="127"/>
      <c r="I154" s="127"/>
      <c r="J154" s="127"/>
      <c r="K154" s="127"/>
      <c r="L154" s="127"/>
      <c r="M154" s="127"/>
      <c r="N154" s="127"/>
      <c r="O154" s="127"/>
      <c r="P154" s="127"/>
    </row>
    <row r="155" spans="1:16">
      <c r="A155" s="15"/>
      <c r="B155" s="15"/>
      <c r="C155" s="15"/>
      <c r="D155" s="15"/>
      <c r="E155" s="15"/>
      <c r="F155" s="15"/>
      <c r="G155" s="15"/>
      <c r="H155" s="127"/>
      <c r="I155" s="127"/>
      <c r="J155" s="127"/>
      <c r="K155" s="127"/>
      <c r="L155" s="127"/>
      <c r="M155" s="127"/>
      <c r="N155" s="127"/>
      <c r="O155" s="127"/>
      <c r="P155" s="127"/>
    </row>
    <row r="156" spans="1:16">
      <c r="A156" s="15"/>
      <c r="B156" s="15"/>
      <c r="C156" s="15"/>
      <c r="D156" s="15"/>
      <c r="E156" s="15"/>
      <c r="F156" s="15"/>
      <c r="G156" s="15"/>
      <c r="H156" s="127"/>
      <c r="I156" s="127"/>
      <c r="J156" s="127"/>
      <c r="K156" s="127"/>
      <c r="L156" s="127"/>
      <c r="M156" s="127"/>
      <c r="N156" s="127"/>
      <c r="O156" s="127"/>
      <c r="P156" s="127"/>
    </row>
    <row r="157" spans="1:16">
      <c r="A157" s="15"/>
      <c r="B157" s="15"/>
      <c r="C157" s="15"/>
      <c r="D157" s="15"/>
      <c r="E157" s="15"/>
      <c r="F157" s="15"/>
      <c r="G157" s="15"/>
      <c r="H157" s="127"/>
      <c r="I157" s="127"/>
      <c r="J157" s="127"/>
      <c r="K157" s="127"/>
      <c r="L157" s="127"/>
      <c r="M157" s="127"/>
      <c r="N157" s="127"/>
      <c r="O157" s="127"/>
      <c r="P157" s="127"/>
    </row>
    <row r="158" spans="1:16">
      <c r="A158" s="15"/>
      <c r="B158" s="15"/>
      <c r="C158" s="15"/>
      <c r="D158" s="15"/>
      <c r="E158" s="15"/>
      <c r="F158" s="15"/>
      <c r="G158" s="15"/>
      <c r="H158" s="127"/>
      <c r="I158" s="127"/>
      <c r="J158" s="127"/>
      <c r="K158" s="127"/>
      <c r="L158" s="127"/>
      <c r="M158" s="127"/>
      <c r="N158" s="127"/>
      <c r="O158" s="127"/>
      <c r="P158" s="127"/>
    </row>
    <row r="159" spans="1:16">
      <c r="A159" s="15"/>
      <c r="B159" s="15"/>
      <c r="C159" s="15"/>
      <c r="D159" s="15"/>
      <c r="E159" s="15"/>
      <c r="F159" s="15"/>
      <c r="G159" s="15"/>
      <c r="H159" s="127"/>
      <c r="I159" s="127"/>
      <c r="J159" s="127"/>
      <c r="K159" s="127"/>
      <c r="L159" s="127"/>
      <c r="M159" s="127"/>
      <c r="N159" s="127"/>
      <c r="O159" s="127"/>
      <c r="P159" s="127"/>
    </row>
    <row r="160" spans="1:16">
      <c r="A160" s="15"/>
      <c r="B160" s="15"/>
      <c r="C160" s="15"/>
      <c r="D160" s="15"/>
      <c r="E160" s="15"/>
      <c r="F160" s="15"/>
      <c r="G160" s="15"/>
      <c r="H160" s="127"/>
      <c r="I160" s="127"/>
      <c r="J160" s="127"/>
      <c r="K160" s="127"/>
      <c r="L160" s="127"/>
      <c r="M160" s="127"/>
      <c r="N160" s="127"/>
      <c r="O160" s="127"/>
      <c r="P160" s="127"/>
    </row>
    <row r="161" spans="1:16">
      <c r="A161" s="15"/>
      <c r="B161" s="15"/>
      <c r="C161" s="15"/>
      <c r="D161" s="15"/>
      <c r="E161" s="15"/>
      <c r="F161" s="15"/>
      <c r="G161" s="15"/>
      <c r="H161" s="127"/>
      <c r="I161" s="127"/>
      <c r="J161" s="127"/>
      <c r="K161" s="127"/>
      <c r="L161" s="127"/>
      <c r="M161" s="127"/>
      <c r="N161" s="127"/>
      <c r="O161" s="127"/>
      <c r="P161" s="127"/>
    </row>
    <row r="162" spans="1:16">
      <c r="G162"/>
      <c r="H162" s="127"/>
      <c r="I162" s="127"/>
      <c r="J162" s="127"/>
      <c r="K162" s="127"/>
      <c r="L162" s="127"/>
      <c r="M162" s="127"/>
      <c r="N162" s="127"/>
      <c r="O162" s="127"/>
      <c r="P162" s="127"/>
    </row>
    <row r="163" spans="1:16" ht="18">
      <c r="A163" s="249" t="s">
        <v>487</v>
      </c>
      <c r="G163"/>
      <c r="H163" s="127"/>
      <c r="I163" s="127"/>
      <c r="J163" s="127"/>
      <c r="K163" s="127"/>
      <c r="L163" s="127"/>
      <c r="M163" s="127"/>
      <c r="N163" s="127"/>
      <c r="O163" s="127"/>
      <c r="P163" s="127"/>
    </row>
    <row r="164" spans="1:16" ht="13.5" thickBot="1">
      <c r="A164" s="248" t="s">
        <v>485</v>
      </c>
      <c r="B164" s="64"/>
      <c r="C164" s="15"/>
      <c r="D164" s="15"/>
      <c r="E164" s="15"/>
      <c r="F164" s="15"/>
      <c r="G164" s="15"/>
      <c r="H164" s="127"/>
      <c r="I164" s="127"/>
      <c r="J164" s="127"/>
      <c r="K164" s="127"/>
      <c r="L164" s="127"/>
      <c r="M164" s="127"/>
      <c r="N164" s="127"/>
      <c r="O164" s="127"/>
      <c r="P164" s="127"/>
    </row>
    <row r="165" spans="1:16" ht="13.5" thickBot="1">
      <c r="A165" s="56" t="s">
        <v>135</v>
      </c>
      <c r="B165" s="253">
        <v>1.4</v>
      </c>
      <c r="C165" s="15"/>
      <c r="D165" s="15"/>
      <c r="E165" s="15"/>
      <c r="F165" s="15"/>
      <c r="G165" s="15"/>
      <c r="H165" s="127"/>
      <c r="I165" s="127"/>
      <c r="J165" s="127"/>
      <c r="K165" s="127"/>
      <c r="L165" s="127"/>
      <c r="M165" s="127"/>
      <c r="N165" s="127"/>
      <c r="O165" s="127"/>
      <c r="P165" s="127"/>
    </row>
    <row r="166" spans="1:16">
      <c r="A166" s="56"/>
      <c r="B166" s="64"/>
      <c r="C166" s="15"/>
      <c r="D166" s="15"/>
      <c r="E166" s="15"/>
      <c r="F166" s="15"/>
      <c r="G166" s="15"/>
      <c r="H166" s="127"/>
      <c r="I166" s="127"/>
      <c r="J166" s="127"/>
      <c r="K166" s="127"/>
      <c r="L166" s="127"/>
      <c r="M166" s="127"/>
      <c r="N166" s="127"/>
      <c r="O166" s="127"/>
      <c r="P166" s="127"/>
    </row>
    <row r="167" spans="1:16">
      <c r="A167" s="56" t="s">
        <v>136</v>
      </c>
      <c r="B167" s="64" t="s">
        <v>482</v>
      </c>
      <c r="C167" s="15"/>
      <c r="D167" s="15"/>
      <c r="E167" s="15"/>
      <c r="F167" s="15"/>
      <c r="G167" s="15"/>
      <c r="H167" s="127"/>
      <c r="I167" s="127"/>
      <c r="J167" s="127"/>
      <c r="K167" s="127"/>
      <c r="L167" s="127"/>
      <c r="M167" s="127"/>
      <c r="N167" s="127"/>
      <c r="O167" s="127"/>
      <c r="P167" s="127"/>
    </row>
    <row r="168" spans="1:16">
      <c r="A168" s="56" t="s">
        <v>136</v>
      </c>
      <c r="B168" s="13">
        <f>2*B165^5 - 3*B165^2 - 5</f>
        <v>-0.12352000000000274</v>
      </c>
      <c r="C168" s="15"/>
      <c r="D168" s="15"/>
      <c r="E168" s="15"/>
      <c r="F168" s="15"/>
      <c r="G168" s="15"/>
      <c r="H168" s="127"/>
      <c r="I168" s="127"/>
      <c r="J168" s="127"/>
      <c r="K168" s="127"/>
      <c r="L168" s="127"/>
      <c r="M168" s="127"/>
      <c r="N168" s="127"/>
      <c r="O168" s="127"/>
      <c r="P168" s="127"/>
    </row>
    <row r="169" spans="1:16">
      <c r="A169" s="248" t="s">
        <v>483</v>
      </c>
      <c r="B169" s="64"/>
      <c r="C169" s="15"/>
      <c r="D169" s="15"/>
      <c r="E169" s="15"/>
      <c r="F169" s="15"/>
      <c r="G169" s="15"/>
      <c r="H169" s="127"/>
      <c r="I169" s="127"/>
      <c r="J169" s="127"/>
      <c r="K169" s="127"/>
      <c r="L169" s="127"/>
      <c r="M169" s="127"/>
      <c r="N169" s="127"/>
      <c r="O169" s="127"/>
      <c r="P169" s="127"/>
    </row>
    <row r="170" spans="1:16" ht="13.5" thickBot="1">
      <c r="A170" s="248" t="s">
        <v>486</v>
      </c>
      <c r="B170" s="15"/>
      <c r="C170" s="15"/>
      <c r="D170" s="15"/>
      <c r="E170" s="15"/>
      <c r="F170" s="15"/>
      <c r="G170" s="15"/>
      <c r="H170" s="127"/>
      <c r="I170" s="127"/>
      <c r="J170" s="127"/>
      <c r="K170" s="127"/>
      <c r="L170" s="127"/>
      <c r="M170" s="127"/>
      <c r="N170" s="127"/>
      <c r="O170" s="127"/>
      <c r="P170" s="127"/>
    </row>
    <row r="171" spans="1:16" ht="13.5" thickBot="1">
      <c r="A171" s="56" t="s">
        <v>135</v>
      </c>
      <c r="B171" s="254">
        <v>1.4040861901598141</v>
      </c>
      <c r="C171" s="64" t="s">
        <v>491</v>
      </c>
      <c r="D171" s="15"/>
      <c r="E171" s="15"/>
      <c r="F171" s="15"/>
      <c r="G171" s="15"/>
      <c r="H171" s="127"/>
      <c r="I171" s="127"/>
      <c r="J171" s="127"/>
      <c r="K171" s="127"/>
      <c r="L171" s="127"/>
      <c r="M171" s="127"/>
      <c r="N171" s="127"/>
      <c r="O171" s="127"/>
      <c r="P171" s="127"/>
    </row>
    <row r="172" spans="1:16">
      <c r="A172" s="56"/>
      <c r="B172" s="64"/>
      <c r="C172" s="15"/>
      <c r="D172" s="15"/>
      <c r="E172" s="15"/>
      <c r="F172" s="15"/>
      <c r="G172" s="15"/>
      <c r="H172" s="127"/>
      <c r="I172" s="127"/>
      <c r="J172" s="127"/>
      <c r="K172" s="127"/>
      <c r="L172" s="127"/>
      <c r="M172" s="127"/>
      <c r="N172" s="127"/>
      <c r="O172" s="127"/>
      <c r="P172" s="127"/>
    </row>
    <row r="173" spans="1:16">
      <c r="A173" s="56" t="s">
        <v>136</v>
      </c>
      <c r="B173" s="64" t="s">
        <v>482</v>
      </c>
      <c r="C173" s="15"/>
      <c r="D173" s="15"/>
      <c r="E173" s="15"/>
      <c r="F173" s="15"/>
      <c r="G173" s="15"/>
      <c r="H173" s="127"/>
      <c r="I173" s="127"/>
      <c r="J173" s="127"/>
      <c r="K173" s="127"/>
      <c r="L173" s="127"/>
      <c r="M173" s="127"/>
      <c r="N173" s="127"/>
      <c r="O173" s="127"/>
      <c r="P173" s="127"/>
    </row>
    <row r="174" spans="1:16">
      <c r="A174" s="56" t="s">
        <v>136</v>
      </c>
      <c r="B174" s="13">
        <f>2*B171^5 - 3*B171^2 - 5</f>
        <v>4.4266812437854242E-12</v>
      </c>
      <c r="C174" s="64" t="s">
        <v>492</v>
      </c>
      <c r="D174" s="15"/>
      <c r="E174" s="15"/>
      <c r="F174" s="15"/>
      <c r="G174" s="15"/>
      <c r="H174" s="127"/>
      <c r="I174" s="127"/>
      <c r="J174" s="127"/>
      <c r="K174" s="127"/>
      <c r="L174" s="127"/>
      <c r="M174" s="127"/>
      <c r="N174" s="127"/>
      <c r="O174" s="127"/>
      <c r="P174" s="127"/>
    </row>
    <row r="175" spans="1:16">
      <c r="A175" s="15"/>
      <c r="B175" s="15"/>
      <c r="C175" s="15"/>
      <c r="D175" s="15"/>
      <c r="E175" s="15"/>
      <c r="F175" s="15"/>
      <c r="G175" s="15"/>
      <c r="H175" s="127"/>
      <c r="I175" s="127"/>
      <c r="J175" s="127"/>
      <c r="K175" s="127"/>
      <c r="L175" s="127"/>
      <c r="M175" s="127"/>
      <c r="N175" s="127"/>
      <c r="O175" s="127"/>
      <c r="P175" s="127"/>
    </row>
    <row r="176" spans="1:16">
      <c r="A176" s="21"/>
      <c r="B176" s="15"/>
      <c r="C176" s="15"/>
      <c r="D176" s="15"/>
      <c r="E176" s="15"/>
      <c r="F176" s="15"/>
      <c r="G176" s="15"/>
      <c r="H176" s="127"/>
      <c r="I176" s="127"/>
      <c r="J176" s="127"/>
      <c r="K176" s="127"/>
      <c r="L176" s="127"/>
      <c r="M176" s="127"/>
      <c r="N176" s="127"/>
      <c r="O176" s="127"/>
      <c r="P176" s="127"/>
    </row>
    <row r="177" spans="1:16">
      <c r="A177" s="15"/>
      <c r="B177" s="21"/>
      <c r="C177" s="15"/>
      <c r="D177" s="15"/>
      <c r="E177" s="15"/>
      <c r="F177" s="15"/>
      <c r="G177" s="15"/>
      <c r="H177" s="127"/>
      <c r="I177" s="127"/>
      <c r="J177" s="127"/>
      <c r="K177" s="127"/>
      <c r="L177" s="127"/>
      <c r="M177" s="127"/>
      <c r="N177" s="127"/>
      <c r="O177" s="127"/>
      <c r="P177" s="127"/>
    </row>
    <row r="178" spans="1:16">
      <c r="A178" s="15"/>
      <c r="B178" s="21"/>
      <c r="C178" s="15"/>
      <c r="D178" s="15"/>
      <c r="E178" s="15"/>
      <c r="F178" s="15"/>
      <c r="G178" s="15"/>
      <c r="H178" s="127"/>
      <c r="I178" s="127"/>
      <c r="J178" s="127"/>
      <c r="K178" s="127"/>
      <c r="L178" s="127"/>
      <c r="M178" s="127"/>
      <c r="N178" s="127"/>
      <c r="O178" s="127"/>
      <c r="P178" s="127"/>
    </row>
    <row r="179" spans="1:16">
      <c r="A179" s="15"/>
      <c r="B179" s="21"/>
      <c r="C179" s="15"/>
      <c r="D179" s="15"/>
      <c r="E179" s="15"/>
      <c r="F179" s="15"/>
      <c r="G179" s="15"/>
      <c r="H179" s="127"/>
      <c r="I179" s="127"/>
      <c r="J179" s="127"/>
      <c r="K179" s="127"/>
      <c r="L179" s="127"/>
      <c r="M179" s="127"/>
      <c r="N179" s="127"/>
      <c r="O179" s="127"/>
      <c r="P179" s="127"/>
    </row>
    <row r="180" spans="1:16">
      <c r="A180" s="15"/>
      <c r="B180" s="21"/>
      <c r="C180" s="15"/>
      <c r="D180" s="15"/>
      <c r="E180" s="15"/>
      <c r="F180" s="15"/>
      <c r="G180" s="15"/>
      <c r="H180" s="127"/>
      <c r="I180" s="127"/>
      <c r="J180" s="127"/>
      <c r="K180" s="127"/>
      <c r="L180" s="127"/>
      <c r="M180" s="127"/>
      <c r="N180" s="127"/>
      <c r="O180" s="127"/>
      <c r="P180" s="127"/>
    </row>
    <row r="181" spans="1:16">
      <c r="A181" s="15"/>
      <c r="B181" s="21"/>
      <c r="C181" s="15"/>
      <c r="D181" s="15"/>
      <c r="E181" s="15"/>
      <c r="F181" s="15"/>
      <c r="G181" s="15"/>
      <c r="H181" s="127"/>
      <c r="I181" s="127"/>
      <c r="J181" s="127"/>
      <c r="K181" s="127"/>
      <c r="L181" s="127"/>
      <c r="M181" s="127"/>
      <c r="N181" s="127"/>
      <c r="O181" s="127"/>
      <c r="P181" s="127"/>
    </row>
    <row r="182" spans="1:16">
      <c r="A182" s="15"/>
      <c r="B182" s="21"/>
      <c r="C182" s="15"/>
      <c r="D182" s="15"/>
      <c r="E182" s="15"/>
      <c r="F182" s="15"/>
      <c r="G182" s="15"/>
      <c r="H182" s="127"/>
      <c r="I182" s="127"/>
      <c r="J182" s="127"/>
      <c r="K182" s="127"/>
      <c r="L182" s="127"/>
      <c r="M182" s="127"/>
      <c r="N182" s="127"/>
      <c r="O182" s="127"/>
      <c r="P182" s="127"/>
    </row>
    <row r="183" spans="1:16">
      <c r="A183" s="15"/>
      <c r="B183" s="21"/>
      <c r="C183" s="15"/>
      <c r="D183" s="15"/>
      <c r="E183" s="15"/>
      <c r="F183" s="15"/>
      <c r="G183" s="15"/>
      <c r="H183" s="127"/>
      <c r="I183" s="127"/>
      <c r="J183" s="127"/>
      <c r="K183" s="127"/>
      <c r="L183" s="127"/>
      <c r="M183" s="127"/>
      <c r="N183" s="127"/>
      <c r="O183" s="127"/>
      <c r="P183" s="127"/>
    </row>
    <row r="184" spans="1:16">
      <c r="A184" s="15"/>
      <c r="B184" s="21"/>
      <c r="C184" s="15"/>
      <c r="D184" s="15"/>
      <c r="E184" s="15"/>
      <c r="F184" s="15"/>
      <c r="G184" s="15"/>
      <c r="H184" s="127"/>
      <c r="I184" s="127"/>
      <c r="J184" s="127"/>
      <c r="K184" s="127"/>
      <c r="L184" s="127"/>
      <c r="M184" s="127"/>
      <c r="N184" s="127"/>
      <c r="O184" s="127"/>
      <c r="P184" s="127"/>
    </row>
    <row r="185" spans="1:16">
      <c r="A185" s="15"/>
      <c r="B185" s="21"/>
      <c r="C185" s="15"/>
      <c r="D185" s="15"/>
      <c r="E185" s="15"/>
      <c r="F185" s="15"/>
      <c r="G185" s="15"/>
      <c r="H185" s="127"/>
      <c r="I185" s="127"/>
      <c r="J185" s="127"/>
      <c r="K185" s="127"/>
      <c r="L185" s="127"/>
      <c r="M185" s="127"/>
      <c r="N185" s="127"/>
      <c r="O185" s="127"/>
      <c r="P185" s="127"/>
    </row>
    <row r="186" spans="1:16">
      <c r="A186" s="15"/>
      <c r="B186" s="21"/>
      <c r="C186" s="15"/>
      <c r="D186" s="15"/>
      <c r="E186" s="15"/>
      <c r="F186" s="15"/>
      <c r="G186" s="15"/>
      <c r="H186" s="127"/>
      <c r="I186" s="127"/>
      <c r="J186" s="127"/>
      <c r="K186" s="127"/>
      <c r="L186" s="127"/>
      <c r="M186" s="127"/>
      <c r="N186" s="127"/>
      <c r="O186" s="127"/>
      <c r="P186" s="127"/>
    </row>
    <row r="187" spans="1:16">
      <c r="A187" s="15"/>
      <c r="B187" s="21"/>
      <c r="C187" s="15"/>
      <c r="D187" s="15"/>
      <c r="E187" s="15"/>
      <c r="F187" s="15"/>
      <c r="G187" s="15"/>
      <c r="H187" s="127"/>
      <c r="I187" s="127"/>
      <c r="J187" s="127"/>
      <c r="K187" s="127"/>
      <c r="L187" s="127"/>
      <c r="M187" s="127"/>
      <c r="N187" s="127"/>
      <c r="O187" s="127"/>
      <c r="P187" s="127"/>
    </row>
    <row r="188" spans="1:16">
      <c r="A188" s="15"/>
      <c r="B188" s="21"/>
      <c r="C188" s="15"/>
      <c r="D188" s="15"/>
      <c r="E188" s="15"/>
      <c r="F188" s="15"/>
      <c r="G188" s="15"/>
      <c r="H188" s="127"/>
      <c r="I188" s="127"/>
      <c r="J188" s="127"/>
      <c r="K188" s="127"/>
      <c r="L188" s="127"/>
      <c r="M188" s="127"/>
      <c r="N188" s="127"/>
      <c r="O188" s="127"/>
      <c r="P188" s="127"/>
    </row>
    <row r="189" spans="1:16">
      <c r="A189" s="15"/>
      <c r="B189" s="126"/>
      <c r="C189" s="125"/>
      <c r="D189" s="125"/>
      <c r="E189" s="125"/>
      <c r="F189" s="125"/>
      <c r="G189" s="125"/>
      <c r="H189" s="127"/>
      <c r="I189" s="127"/>
      <c r="J189" s="127"/>
      <c r="K189" s="127"/>
      <c r="L189" s="127"/>
      <c r="M189" s="127"/>
      <c r="N189" s="127"/>
      <c r="O189" s="127"/>
      <c r="P189" s="127"/>
    </row>
    <row r="190" spans="1:16" ht="15">
      <c r="B190" s="246"/>
      <c r="C190" s="1"/>
      <c r="D190" s="1"/>
      <c r="E190" s="1"/>
      <c r="F190" s="1"/>
      <c r="G190"/>
      <c r="H190" s="127"/>
      <c r="I190" s="127"/>
      <c r="J190" s="127"/>
      <c r="K190" s="127"/>
      <c r="L190" s="127"/>
      <c r="M190" s="127"/>
      <c r="N190" s="127"/>
      <c r="O190" s="127"/>
      <c r="P190" s="127"/>
    </row>
    <row r="191" spans="1:16">
      <c r="G191"/>
      <c r="H191" s="127"/>
      <c r="I191" s="127"/>
      <c r="J191" s="127"/>
      <c r="K191" s="127"/>
      <c r="L191" s="127"/>
      <c r="M191" s="127"/>
      <c r="N191" s="127"/>
      <c r="O191" s="127"/>
      <c r="P191" s="127"/>
    </row>
    <row r="192" spans="1:16">
      <c r="G192"/>
      <c r="H192" s="127"/>
      <c r="I192" s="127"/>
      <c r="J192" s="127"/>
      <c r="K192" s="127"/>
      <c r="L192" s="127"/>
      <c r="M192" s="127"/>
      <c r="N192" s="127"/>
      <c r="O192" s="127"/>
      <c r="P192" s="127"/>
    </row>
    <row r="193" spans="1:16">
      <c r="G193"/>
      <c r="H193" s="127"/>
      <c r="I193" s="127"/>
      <c r="J193" s="127"/>
      <c r="K193" s="127"/>
      <c r="L193" s="127"/>
      <c r="M193" s="127"/>
      <c r="N193" s="127"/>
      <c r="O193" s="127"/>
      <c r="P193" s="127"/>
    </row>
    <row r="194" spans="1:16" ht="15.75">
      <c r="B194" s="324" t="s">
        <v>493</v>
      </c>
      <c r="G194"/>
      <c r="H194" s="127"/>
      <c r="I194" s="127"/>
      <c r="J194" s="127"/>
      <c r="K194" s="127"/>
      <c r="L194" s="127"/>
      <c r="M194" s="127"/>
      <c r="N194" s="127"/>
      <c r="O194" s="127"/>
      <c r="P194" s="127"/>
    </row>
    <row r="195" spans="1:16">
      <c r="G195"/>
      <c r="H195" s="127"/>
      <c r="I195" s="127"/>
      <c r="J195" s="127"/>
      <c r="K195" s="127"/>
      <c r="L195" s="127"/>
      <c r="M195" s="127"/>
      <c r="N195" s="127"/>
      <c r="O195" s="127"/>
      <c r="P195" s="127"/>
    </row>
    <row r="196" spans="1:16">
      <c r="G196"/>
      <c r="J196" s="127"/>
      <c r="K196" s="127"/>
      <c r="L196" s="127"/>
      <c r="M196" s="127"/>
      <c r="N196" s="127"/>
      <c r="O196" s="127"/>
      <c r="P196" s="127"/>
    </row>
    <row r="197" spans="1:16">
      <c r="G197"/>
      <c r="J197" s="127"/>
      <c r="K197" s="127"/>
      <c r="L197" s="127"/>
      <c r="M197" s="127"/>
      <c r="N197" s="127"/>
      <c r="O197" s="127"/>
      <c r="P197" s="127"/>
    </row>
    <row r="198" spans="1:16">
      <c r="A198" s="325"/>
      <c r="B198" s="332"/>
      <c r="C198" s="328"/>
      <c r="D198" s="330"/>
      <c r="E198" s="331"/>
      <c r="F198" s="325"/>
      <c r="G198" s="326"/>
      <c r="H198" s="327"/>
      <c r="I198" s="327"/>
      <c r="J198" s="127"/>
      <c r="K198" s="127"/>
      <c r="L198" s="127"/>
      <c r="M198" s="127"/>
      <c r="N198" s="127"/>
      <c r="O198" s="127"/>
      <c r="P198" s="127"/>
    </row>
    <row r="199" spans="1:16">
      <c r="A199" s="325"/>
      <c r="B199" s="332"/>
      <c r="C199" s="328"/>
      <c r="D199" s="329"/>
      <c r="E199" s="331"/>
      <c r="F199" s="325"/>
      <c r="G199" s="326"/>
      <c r="H199" s="327"/>
      <c r="I199" s="327"/>
      <c r="J199" s="127"/>
      <c r="K199" s="127"/>
      <c r="L199" s="127"/>
      <c r="M199" s="127"/>
      <c r="N199" s="127"/>
      <c r="O199" s="127"/>
      <c r="P199" s="127"/>
    </row>
    <row r="200" spans="1:16">
      <c r="A200" s="325"/>
      <c r="B200" s="332"/>
      <c r="C200" s="328"/>
      <c r="D200" s="330"/>
      <c r="E200" s="331"/>
      <c r="F200" s="325"/>
      <c r="G200" s="326"/>
      <c r="H200" s="327"/>
      <c r="I200" s="327"/>
      <c r="J200" s="127"/>
      <c r="K200" s="127"/>
      <c r="L200" s="127"/>
      <c r="M200" s="127"/>
      <c r="N200" s="127"/>
      <c r="O200" s="127"/>
      <c r="P200" s="127"/>
    </row>
    <row r="201" spans="1:16">
      <c r="A201" s="325"/>
      <c r="B201" s="332"/>
      <c r="C201" s="328"/>
      <c r="D201" s="330"/>
      <c r="E201" s="331"/>
      <c r="F201" s="325"/>
      <c r="G201" s="326"/>
      <c r="H201" s="327"/>
      <c r="I201" s="327"/>
      <c r="J201" s="127"/>
      <c r="K201" s="127"/>
      <c r="L201" s="127"/>
      <c r="M201" s="127"/>
      <c r="N201" s="127"/>
      <c r="O201" s="127"/>
      <c r="P201" s="127"/>
    </row>
    <row r="202" spans="1:16">
      <c r="A202" s="325"/>
      <c r="B202" s="332"/>
      <c r="C202" s="328"/>
      <c r="D202" s="330"/>
      <c r="E202" s="331"/>
      <c r="F202" s="215"/>
      <c r="G202" s="326"/>
      <c r="H202" s="327"/>
      <c r="I202" s="327"/>
      <c r="J202" s="127"/>
      <c r="K202" s="127"/>
      <c r="L202" s="127"/>
      <c r="M202" s="127"/>
      <c r="N202" s="127"/>
      <c r="O202" s="127"/>
      <c r="P202" s="127"/>
    </row>
    <row r="203" spans="1:16">
      <c r="A203" s="325"/>
      <c r="B203" s="332"/>
      <c r="C203" s="328"/>
      <c r="D203" s="330"/>
      <c r="E203" s="331"/>
      <c r="F203" s="215"/>
      <c r="G203" s="326"/>
      <c r="H203" s="327"/>
      <c r="I203" s="327"/>
    </row>
    <row r="204" spans="1:16">
      <c r="A204" s="325"/>
      <c r="B204" s="332"/>
      <c r="C204" s="328"/>
      <c r="D204" s="330"/>
      <c r="E204" s="331"/>
      <c r="F204" s="215"/>
      <c r="G204" s="326"/>
      <c r="H204" s="327"/>
      <c r="I204" s="327"/>
    </row>
    <row r="205" spans="1:16">
      <c r="A205" s="325"/>
      <c r="B205" s="325"/>
      <c r="C205" s="325"/>
      <c r="D205" s="325"/>
      <c r="E205" s="325"/>
      <c r="F205" s="215"/>
      <c r="G205" s="326"/>
      <c r="H205" s="327"/>
      <c r="I205" s="327"/>
      <c r="J205" s="327"/>
      <c r="K205" s="327"/>
      <c r="L205" s="327"/>
      <c r="M205" s="327"/>
      <c r="N205" s="327"/>
      <c r="O205" s="127"/>
    </row>
    <row r="206" spans="1:16">
      <c r="J206" s="327"/>
      <c r="K206" s="327"/>
      <c r="L206" s="327"/>
      <c r="M206" s="327"/>
      <c r="N206" s="327"/>
      <c r="O206" s="127"/>
    </row>
    <row r="207" spans="1:16">
      <c r="J207" s="327"/>
      <c r="K207" s="327"/>
      <c r="L207" s="327"/>
      <c r="M207" s="327"/>
      <c r="N207" s="327"/>
      <c r="O207" s="127"/>
    </row>
    <row r="208" spans="1:16">
      <c r="J208" s="327"/>
      <c r="K208" s="327"/>
      <c r="L208" s="327"/>
      <c r="M208" s="327"/>
      <c r="N208" s="327"/>
      <c r="O208" s="127"/>
    </row>
    <row r="209" spans="1:15">
      <c r="J209" s="327"/>
      <c r="K209" s="327"/>
      <c r="L209" s="327"/>
      <c r="M209" s="327"/>
      <c r="N209" s="327"/>
      <c r="O209" s="127"/>
    </row>
    <row r="210" spans="1:15">
      <c r="J210" s="327"/>
      <c r="K210" s="327"/>
      <c r="L210" s="327"/>
      <c r="M210" s="327"/>
      <c r="N210" s="327"/>
      <c r="O210" s="127"/>
    </row>
    <row r="211" spans="1:15">
      <c r="J211" s="327"/>
      <c r="K211" s="327"/>
      <c r="L211" s="327"/>
      <c r="M211" s="327"/>
      <c r="N211" s="327"/>
      <c r="O211" s="127"/>
    </row>
    <row r="212" spans="1:15">
      <c r="J212" s="327"/>
      <c r="K212" s="327"/>
      <c r="L212" s="327"/>
      <c r="M212" s="327"/>
      <c r="N212" s="327"/>
      <c r="O212" s="127"/>
    </row>
    <row r="213" spans="1:15">
      <c r="A213" s="215"/>
      <c r="B213" s="215"/>
      <c r="C213" s="215"/>
      <c r="D213" s="215"/>
      <c r="E213" s="215"/>
      <c r="F213" s="215"/>
      <c r="G213" s="326"/>
      <c r="H213" s="327"/>
      <c r="I213" s="327"/>
      <c r="J213" s="327"/>
      <c r="K213" s="327"/>
      <c r="L213" s="327"/>
      <c r="M213" s="327"/>
      <c r="N213" s="327"/>
      <c r="O213" s="127"/>
    </row>
    <row r="214" spans="1:15">
      <c r="A214" s="215"/>
      <c r="B214" s="215"/>
      <c r="C214" s="215"/>
      <c r="D214" s="215"/>
      <c r="E214" s="215"/>
      <c r="F214" s="215"/>
      <c r="G214" s="326"/>
      <c r="H214" s="327"/>
      <c r="I214" s="327"/>
      <c r="J214" s="327"/>
      <c r="K214" s="327"/>
      <c r="L214" s="327"/>
      <c r="M214" s="327"/>
      <c r="N214" s="327"/>
      <c r="O214" s="127"/>
    </row>
    <row r="215" spans="1:15" ht="15.75">
      <c r="A215" s="333"/>
      <c r="B215" s="215"/>
      <c r="C215" s="215"/>
      <c r="D215" s="215"/>
      <c r="E215" s="215"/>
      <c r="F215" s="215"/>
      <c r="G215" s="326"/>
      <c r="H215" s="327"/>
      <c r="I215" s="327"/>
      <c r="J215" s="327"/>
      <c r="K215" s="327"/>
      <c r="L215" s="327"/>
      <c r="M215" s="327"/>
      <c r="N215" s="327"/>
      <c r="O215" s="127"/>
    </row>
    <row r="216" spans="1:15">
      <c r="A216" s="215"/>
      <c r="B216" s="215"/>
      <c r="C216" s="215"/>
      <c r="D216" s="215"/>
      <c r="E216" s="215"/>
      <c r="F216" s="215"/>
      <c r="G216" s="326"/>
      <c r="H216" s="327"/>
      <c r="I216" s="327"/>
      <c r="J216" s="327"/>
      <c r="K216" s="327"/>
      <c r="L216" s="327"/>
      <c r="M216" s="327"/>
      <c r="N216" s="327"/>
      <c r="O216" s="127"/>
    </row>
    <row r="217" spans="1:15">
      <c r="A217" s="215"/>
      <c r="B217" s="215"/>
      <c r="C217" s="215"/>
      <c r="D217" s="215"/>
      <c r="E217" s="215"/>
      <c r="F217" s="215"/>
      <c r="G217" s="326"/>
      <c r="H217" s="327"/>
      <c r="I217" s="327"/>
      <c r="J217" s="327"/>
      <c r="K217" s="327"/>
      <c r="L217" s="327"/>
      <c r="M217" s="327"/>
      <c r="N217" s="327"/>
      <c r="O217" s="127"/>
    </row>
    <row r="218" spans="1:15">
      <c r="A218" s="215"/>
      <c r="B218" s="215"/>
      <c r="C218" s="215"/>
      <c r="D218" s="215"/>
      <c r="E218" s="215"/>
      <c r="F218" s="215"/>
      <c r="G218" s="326"/>
      <c r="H218" s="327"/>
      <c r="I218" s="327"/>
      <c r="J218" s="327"/>
      <c r="K218" s="327"/>
      <c r="L218" s="327"/>
      <c r="M218" s="327"/>
      <c r="N218" s="327"/>
      <c r="O218" s="127"/>
    </row>
    <row r="219" spans="1:15">
      <c r="G219" s="168"/>
      <c r="H219" s="127"/>
      <c r="I219" s="127"/>
      <c r="J219" s="127"/>
      <c r="K219" s="127"/>
      <c r="L219" s="127"/>
      <c r="M219" s="127"/>
      <c r="N219" s="127"/>
      <c r="O219" s="127"/>
    </row>
  </sheetData>
  <sheetProtection sheet="1" objects="1" scenarios="1" formatCells="0" selectLockedCells="1"/>
  <phoneticPr fontId="16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Cantilever</vt:lpstr>
      <vt:lpstr>Beam Pined</vt:lpstr>
      <vt:lpstr>Beam Fixed</vt:lpstr>
      <vt:lpstr>Continuous Beam</vt:lpstr>
      <vt:lpstr>Math Tools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Andrew</dc:creator>
  <cp:lastModifiedBy> </cp:lastModifiedBy>
  <cp:lastPrinted>2014-04-09T23:14:01Z</cp:lastPrinted>
  <dcterms:created xsi:type="dcterms:W3CDTF">2009-04-15T15:53:17Z</dcterms:created>
  <dcterms:modified xsi:type="dcterms:W3CDTF">2022-10-27T21:08:17Z</dcterms:modified>
</cp:coreProperties>
</file>